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56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<sst xmlns="http://schemas.openxmlformats.org/spreadsheetml/2006/main" count="878" uniqueCount="128">
  <si>
    <t>Nr.crt.</t>
  </si>
  <si>
    <t>Denumirea unitatii</t>
  </si>
  <si>
    <t>Lista A</t>
  </si>
  <si>
    <t>Lista B</t>
  </si>
  <si>
    <t>Lista C1</t>
  </si>
  <si>
    <t>Lista C3</t>
  </si>
  <si>
    <t>G 4 CNAS</t>
  </si>
  <si>
    <t>G7 CNAS</t>
  </si>
  <si>
    <t>G 31A CNAS</t>
  </si>
  <si>
    <t>G 31B CNAS</t>
  </si>
  <si>
    <t>G31ECNAS</t>
  </si>
  <si>
    <t>G22CNAS</t>
  </si>
  <si>
    <t>G31D CNAS</t>
  </si>
  <si>
    <t>G31FCNAS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</si>
  <si>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</si>
  <si>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</si>
  <si>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</si>
  <si>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</si>
  <si>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</si>
  <si>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</si>
  <si>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</si>
  <si>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</si>
  <si>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</si>
  <si>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</si>
  <si>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</si>
  <si>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</si>
  <si>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</si>
  <si>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</si>
  <si>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</si>
  <si>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</si>
  <si>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</si>
  <si>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</si>
  <si>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</si>
  <si>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</si>
  <si>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</si>
  <si>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</si>
  <si>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</si>
  <si>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</si>
  <si>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</si>
  <si>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</si>
  <si>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</si>
  <si>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</si>
  <si>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</si>
  <si>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</si>
  <si>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</si>
  <si>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</si>
  <si>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</si>
  <si>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</si>
  <si>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</si>
  <si>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</si>
  <si>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</si>
  <si>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</si>
  <si>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</si>
  <si>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</si>
  <si>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</si>
  <si>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</si>
  <si>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</si>
  <si>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</si>
  <si>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</si>
  <si>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</si>
  <si>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</si>
  <si>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</si>
  <si>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</si>
  <si>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</si>
  <si>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</si>
  <si>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</si>
  <si>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</si>
  <si>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</si>
  <si>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</si>
  <si>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</si>
  <si>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</si>
  <si>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</si>
  <si>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</si>
  <si>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</si>
  <si>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</si>
  <si>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</si>
  <si>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</si>
  <si>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</si>
  <si>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</si>
  <si>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</si>
  <si>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</si>
  <si>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</si>
  <si>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</si>
  <si>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</si>
  <si>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</si>
  <si>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</si>
  <si>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</si>
  <si>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</si>
  <si>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</si>
  <si>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</si>
  <si>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</si>
  <si>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</si>
  <si>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</si>
  <si>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</si>
  <si>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</si>
  <si>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</si>
  <si>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</si>
  <si>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</si>
  <si>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</si>
  <si>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</si>
  <si>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</si>
  <si>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</si>
  <si>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</si>
  <si>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G31CCNAS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</si>
  <si>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</si>
  <si>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</si>
  <si>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</si>
  <si>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</si>
  <si>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</si>
  <si>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</si>
  <si>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</si>
  <si>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</si>
  <si>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TOTAL  CNAS</t>
  </si>
  <si>
    <t xml:space="preserve">Total consum unice fara CNAS </t>
  </si>
  <si>
    <t>SITUATIA CONSUMULUI DE MEDICAMENTE IN LUNA FEBRUARIE 2017</t>
  </si>
  <si>
    <t>SITUATIA CONSUMULUI DE MEDICAMENTE PENTRU PENSIONARI PANA LA 700 LEI FEBRUARIE 2017</t>
  </si>
  <si>
    <t>SITUATIA CONSUMULUI DE MEDICAMENTE PENTRU DIABET   LUNA FEBRUARIE 2017</t>
  </si>
  <si>
    <t>SITUATIA CONSUMULUI DE MEDICAMENTE PENTRU INSULINE LUNA FEBRUARIE 2017</t>
  </si>
  <si>
    <t>SITUATIA CONSUMULUI DE MEDICAMENTE LA  DIABET SI INSULINE FEBRUARIE 2017</t>
  </si>
  <si>
    <t>SITUATIA CONSUMULUI LA TESTE PENTRU LUNA FEBRUARIE 2017</t>
  </si>
  <si>
    <t>SITUATIA CONSUMULUI DE MEDICAMENTE PENTRU COST VOLUM  LUNA FEBRUARIE 2017</t>
  </si>
  <si>
    <t>SITUATIA CONSUMULUI DE MEDICAMENTE PENTRU ONCOLOGIE  LUNA FEBRUARIE 2017</t>
  </si>
  <si>
    <t>SITUATIA CONSUMULUI DE MEDICAMENTE LA STARI POSTTRANSPLANT FEBRUARIE 2017</t>
  </si>
  <si>
    <t>SITUATIA CONSUMULUI DE MEDICAMENTE PENTRU SCLEROZA   LUNA FEBRUARIE 2017</t>
  </si>
  <si>
    <t>SITUATIA CONSUMULUI DE MEDICAMENTE LA STARI MUCOVISCIDOZA FEBRUARIE 2017</t>
  </si>
  <si>
    <t>Consum MUCOVISCIDOZA ADULTI</t>
  </si>
  <si>
    <t>Consum MUCOVISCIDOZA COPII</t>
  </si>
  <si>
    <t>ARNIKAPOTHEQ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</si>
</sst>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8" fillId="2" borderId="21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" fontId="12" fillId="0" borderId="13" xfId="0" applyNumberFormat="1" applyFont="1" applyBorder="1" applyAlignment="1">
      <alignment shrinkToFit="1"/>
    </xf>
    <xf numFmtId="4" fontId="15" fillId="0" borderId="16" xfId="0" applyNumberFormat="1" applyFont="1" applyBorder="1" applyAlignment="1">
      <alignment/>
    </xf>
    <xf numFmtId="4" fontId="15" fillId="0" borderId="25" xfId="0" applyNumberFormat="1" applyFont="1" applyBorder="1" applyAlignment="1">
      <alignment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2" borderId="27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72"/>
  <sheetViews>
    <sheetView tabSelected="1" workbookViewId="0" topLeftCell="Q1">
      <selection activeCell="T2" sqref="T2:T4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19.00390625" style="0" customWidth="1"/>
    <col min="6" max="6" width="18.00390625" style="0" bestFit="1" customWidth="1"/>
    <col min="7" max="7" width="17.8515625" style="0" bestFit="1" customWidth="1"/>
    <col min="8" max="8" width="16.28125" style="0" customWidth="1"/>
    <col min="9" max="9" width="15.28125" style="18" bestFit="1" customWidth="1"/>
    <col min="10" max="10" width="12.140625" style="0" customWidth="1"/>
    <col min="11" max="11" width="14.28125" style="0" bestFit="1" customWidth="1"/>
    <col min="12" max="13" width="15.57421875" style="0" bestFit="1" customWidth="1"/>
    <col min="14" max="15" width="13.8515625" style="0" bestFit="1" customWidth="1"/>
    <col min="16" max="16" width="17.00390625" style="0" bestFit="1" customWidth="1"/>
    <col min="17" max="17" width="16.8515625" style="0" customWidth="1"/>
    <col min="18" max="18" width="15.57421875" style="0" bestFit="1" customWidth="1"/>
    <col min="19" max="19" width="18.00390625" style="0" bestFit="1" customWidth="1"/>
    <col min="20" max="20" width="18.00390625" style="13" bestFit="1" customWidth="1"/>
    <col min="21" max="81" width="9.140625" style="4" customWidth="1"/>
  </cols>
  <sheetData>
    <row r="1" spans="2:20" ht="15.75" thickBot="1">
      <c r="B1" s="20" t="s">
        <v>114</v>
      </c>
      <c r="C1" s="21"/>
      <c r="D1" s="21"/>
      <c r="E1" s="21"/>
      <c r="F1" s="21"/>
      <c r="G1" s="22"/>
      <c r="H1" s="22"/>
      <c r="I1" s="23"/>
      <c r="J1" s="21"/>
      <c r="K1" s="21"/>
      <c r="L1" s="21"/>
      <c r="M1" s="21"/>
      <c r="N1" s="21"/>
      <c r="O1" s="21"/>
      <c r="P1" s="21"/>
      <c r="Q1" s="21"/>
      <c r="R1" s="21"/>
      <c r="S1" s="24"/>
      <c r="T1" s="25"/>
    </row>
    <row r="2" spans="1:20" ht="47.25" thickBot="1">
      <c r="A2" s="67" t="s">
        <v>0</v>
      </c>
      <c r="B2" s="62" t="s">
        <v>1</v>
      </c>
      <c r="C2" s="54" t="s">
        <v>2</v>
      </c>
      <c r="D2" s="54" t="s">
        <v>3</v>
      </c>
      <c r="E2" s="111"/>
      <c r="F2" s="54" t="s">
        <v>4</v>
      </c>
      <c r="G2" s="54" t="s">
        <v>5</v>
      </c>
      <c r="H2" s="54" t="s">
        <v>110</v>
      </c>
      <c r="I2" s="55" t="s">
        <v>6</v>
      </c>
      <c r="J2" s="54" t="s">
        <v>7</v>
      </c>
      <c r="K2" s="54" t="s">
        <v>8</v>
      </c>
      <c r="L2" s="54" t="s">
        <v>9</v>
      </c>
      <c r="M2" s="54" t="s">
        <v>10</v>
      </c>
      <c r="N2" s="54" t="s">
        <v>11</v>
      </c>
      <c r="O2" s="54" t="s">
        <v>12</v>
      </c>
      <c r="P2" s="54" t="s">
        <v>13</v>
      </c>
      <c r="Q2" s="63" t="s">
        <v>103</v>
      </c>
      <c r="R2" s="72" t="s">
        <v>112</v>
      </c>
      <c r="S2" s="112" t="s">
        <v>106</v>
      </c>
      <c r="T2" s="113" t="s">
        <v>113</v>
      </c>
    </row>
    <row r="3" spans="1:20" ht="15.75" thickBot="1">
      <c r="A3" s="60">
        <v>1</v>
      </c>
      <c r="B3" s="58" t="s">
        <v>14</v>
      </c>
      <c r="C3" s="56">
        <v>37962.24</v>
      </c>
      <c r="D3" s="70">
        <v>34996.07</v>
      </c>
      <c r="E3" s="26">
        <f>F3+G3+R3</f>
        <v>116054.39000000001</v>
      </c>
      <c r="F3" s="91">
        <v>58549.11</v>
      </c>
      <c r="G3" s="56">
        <v>1872.15</v>
      </c>
      <c r="H3" s="56">
        <v>3314.69</v>
      </c>
      <c r="I3" s="57">
        <v>8605.03</v>
      </c>
      <c r="J3" s="56"/>
      <c r="K3" s="56">
        <v>3913.1</v>
      </c>
      <c r="L3" s="56">
        <v>19515.6</v>
      </c>
      <c r="M3" s="56"/>
      <c r="N3" s="56"/>
      <c r="O3" s="56">
        <v>11880.06</v>
      </c>
      <c r="P3" s="56">
        <v>11719.34</v>
      </c>
      <c r="Q3" s="70"/>
      <c r="R3" s="73">
        <f>I3+J3+K3+L3+M3+N3+O3+P3+Q3</f>
        <v>55633.130000000005</v>
      </c>
      <c r="S3" s="89">
        <f aca="true" t="shared" si="0" ref="S3:S41">C3+D3+F3+G3+H3+R3</f>
        <v>192327.38999999998</v>
      </c>
      <c r="T3" s="90">
        <f>S3-R3</f>
        <v>136694.25999999998</v>
      </c>
    </row>
    <row r="4" spans="1:20" ht="15.75" thickBot="1">
      <c r="A4" s="61">
        <v>2</v>
      </c>
      <c r="B4" s="59" t="s">
        <v>15</v>
      </c>
      <c r="C4" s="26">
        <f>11029.96+9171.74</f>
        <v>20201.699999999997</v>
      </c>
      <c r="D4" s="71">
        <f>13052.55+10332.6</f>
        <v>23385.15</v>
      </c>
      <c r="E4" s="26">
        <f aca="true" t="shared" si="1" ref="E4:E41">F4+G4+R4</f>
        <v>35404.32</v>
      </c>
      <c r="F4" s="92">
        <f>9322.45+21012.32</f>
        <v>30334.77</v>
      </c>
      <c r="G4" s="26">
        <f>1010.3+146.15</f>
        <v>1156.45</v>
      </c>
      <c r="H4" s="26">
        <f>1626.2+1031.17</f>
        <v>2657.37</v>
      </c>
      <c r="I4" s="27"/>
      <c r="J4" s="26"/>
      <c r="K4" s="26"/>
      <c r="L4" s="26">
        <v>3913.1</v>
      </c>
      <c r="M4" s="26"/>
      <c r="N4" s="26"/>
      <c r="O4" s="26"/>
      <c r="P4" s="26"/>
      <c r="Q4" s="71"/>
      <c r="R4" s="73">
        <f aca="true" t="shared" si="2" ref="R4:R41">I4+J4+K4+L4+M4+N4+O4+P4+Q4</f>
        <v>3913.1</v>
      </c>
      <c r="S4" s="89">
        <f t="shared" si="0"/>
        <v>81648.54</v>
      </c>
      <c r="T4" s="90">
        <f aca="true" t="shared" si="3" ref="T4:T41">S4-R4</f>
        <v>77735.43999999999</v>
      </c>
    </row>
    <row r="5" spans="1:20" ht="15.75" thickBot="1">
      <c r="A5" s="61">
        <v>3</v>
      </c>
      <c r="B5" s="59" t="s">
        <v>16</v>
      </c>
      <c r="C5" s="26">
        <f>8120.6+7166.97+5292.93+13575.82+3162.39</f>
        <v>37318.71</v>
      </c>
      <c r="D5" s="71">
        <f>7619.31+5194.29+3620.22+11551.75+2077.76</f>
        <v>30063.33</v>
      </c>
      <c r="E5" s="26">
        <f t="shared" si="1"/>
        <v>25231.53</v>
      </c>
      <c r="F5" s="92">
        <f>5749.4+2655.68+883.79+6236.37+144.62</f>
        <v>15669.859999999999</v>
      </c>
      <c r="G5" s="26">
        <f>802.04+1695.53+457.9+3410.42+3195.78</f>
        <v>9561.67</v>
      </c>
      <c r="H5" s="26">
        <f>1039.99+600.65+401.17+1706.12+229.81</f>
        <v>3977.74</v>
      </c>
      <c r="I5" s="27"/>
      <c r="J5" s="26"/>
      <c r="K5" s="26"/>
      <c r="L5" s="26"/>
      <c r="M5" s="26"/>
      <c r="N5" s="26"/>
      <c r="O5" s="26"/>
      <c r="P5" s="26"/>
      <c r="Q5" s="71"/>
      <c r="R5" s="73">
        <f t="shared" si="2"/>
        <v>0</v>
      </c>
      <c r="S5" s="89">
        <f t="shared" si="0"/>
        <v>96591.31000000001</v>
      </c>
      <c r="T5" s="90">
        <f t="shared" si="3"/>
        <v>96591.31000000001</v>
      </c>
    </row>
    <row r="6" spans="1:20" ht="15.75" thickBot="1">
      <c r="A6" s="61">
        <v>4</v>
      </c>
      <c r="B6" s="59" t="s">
        <v>17</v>
      </c>
      <c r="C6" s="26">
        <f>10837.48+3511.72</f>
        <v>14349.199999999999</v>
      </c>
      <c r="D6" s="71">
        <f>16935.7+1823.83</f>
        <v>18759.53</v>
      </c>
      <c r="E6" s="26">
        <f t="shared" si="1"/>
        <v>15848.19</v>
      </c>
      <c r="F6" s="92">
        <f>13093.22+776.6</f>
        <v>13869.82</v>
      </c>
      <c r="G6" s="26">
        <f>1517.46+460.91</f>
        <v>1978.3700000000001</v>
      </c>
      <c r="H6" s="26">
        <f>942.96+262.67</f>
        <v>1205.63</v>
      </c>
      <c r="I6" s="27"/>
      <c r="J6" s="26"/>
      <c r="K6" s="26"/>
      <c r="L6" s="26"/>
      <c r="M6" s="26"/>
      <c r="N6" s="26"/>
      <c r="O6" s="26"/>
      <c r="P6" s="26"/>
      <c r="Q6" s="71"/>
      <c r="R6" s="73">
        <f t="shared" si="2"/>
        <v>0</v>
      </c>
      <c r="S6" s="89">
        <f t="shared" si="0"/>
        <v>50162.549999999996</v>
      </c>
      <c r="T6" s="90">
        <f t="shared" si="3"/>
        <v>50162.549999999996</v>
      </c>
    </row>
    <row r="7" spans="1:20" ht="15.75" thickBot="1">
      <c r="A7" s="61">
        <v>5</v>
      </c>
      <c r="B7" s="59" t="s">
        <v>18</v>
      </c>
      <c r="C7" s="26">
        <f>5021.23+8314.21</f>
        <v>13335.439999999999</v>
      </c>
      <c r="D7" s="71">
        <f>6035.21+6729.15</f>
        <v>12764.36</v>
      </c>
      <c r="E7" s="26">
        <f t="shared" si="1"/>
        <v>8081.96</v>
      </c>
      <c r="F7" s="92">
        <f>2934.36+3795.97</f>
        <v>6730.33</v>
      </c>
      <c r="G7" s="26">
        <f>865.42+486.21</f>
        <v>1351.6299999999999</v>
      </c>
      <c r="H7" s="26">
        <f>898.62+797.07</f>
        <v>1695.69</v>
      </c>
      <c r="I7" s="27"/>
      <c r="J7" s="26"/>
      <c r="K7" s="26"/>
      <c r="L7" s="26"/>
      <c r="M7" s="26"/>
      <c r="N7" s="26"/>
      <c r="O7" s="26"/>
      <c r="P7" s="26"/>
      <c r="Q7" s="71"/>
      <c r="R7" s="73">
        <f t="shared" si="2"/>
        <v>0</v>
      </c>
      <c r="S7" s="89">
        <f t="shared" si="0"/>
        <v>35877.45</v>
      </c>
      <c r="T7" s="90">
        <f t="shared" si="3"/>
        <v>35877.45</v>
      </c>
    </row>
    <row r="8" spans="1:20" ht="15.75" thickBot="1">
      <c r="A8" s="61">
        <v>6</v>
      </c>
      <c r="B8" s="59" t="s">
        <v>19</v>
      </c>
      <c r="C8" s="26">
        <v>12543.82</v>
      </c>
      <c r="D8" s="71">
        <v>16088.52</v>
      </c>
      <c r="E8" s="26">
        <f t="shared" si="1"/>
        <v>28501.77</v>
      </c>
      <c r="F8" s="92">
        <v>27364.05</v>
      </c>
      <c r="G8" s="26">
        <v>1137.72</v>
      </c>
      <c r="H8" s="26">
        <v>1711.76</v>
      </c>
      <c r="I8" s="27"/>
      <c r="J8" s="26"/>
      <c r="K8" s="26"/>
      <c r="L8" s="26"/>
      <c r="M8" s="26"/>
      <c r="N8" s="26"/>
      <c r="O8" s="26"/>
      <c r="P8" s="26"/>
      <c r="Q8" s="71"/>
      <c r="R8" s="73">
        <f t="shared" si="2"/>
        <v>0</v>
      </c>
      <c r="S8" s="89">
        <f t="shared" si="0"/>
        <v>58845.87</v>
      </c>
      <c r="T8" s="90">
        <f t="shared" si="3"/>
        <v>58845.87</v>
      </c>
    </row>
    <row r="9" spans="1:20" ht="15.75" thickBot="1">
      <c r="A9" s="61">
        <v>7</v>
      </c>
      <c r="B9" s="59" t="s">
        <v>20</v>
      </c>
      <c r="C9" s="26">
        <f>25427.84+2025.54</f>
        <v>27453.38</v>
      </c>
      <c r="D9" s="71">
        <f>23906.49+1082.8</f>
        <v>24989.29</v>
      </c>
      <c r="E9" s="26">
        <f t="shared" si="1"/>
        <v>57815.32</v>
      </c>
      <c r="F9" s="92">
        <f>27192.81+1413.5</f>
        <v>28606.31</v>
      </c>
      <c r="G9" s="26">
        <f>1697.31+471.99</f>
        <v>2169.3</v>
      </c>
      <c r="H9" s="26">
        <f>2753.43+147.58</f>
        <v>2901.0099999999998</v>
      </c>
      <c r="I9" s="27">
        <v>23136.59</v>
      </c>
      <c r="J9" s="26"/>
      <c r="K9" s="26"/>
      <c r="L9" s="26"/>
      <c r="M9" s="26"/>
      <c r="N9" s="26"/>
      <c r="O9" s="26">
        <v>3903.12</v>
      </c>
      <c r="P9" s="26"/>
      <c r="Q9" s="71"/>
      <c r="R9" s="73">
        <f t="shared" si="2"/>
        <v>27039.71</v>
      </c>
      <c r="S9" s="89">
        <f t="shared" si="0"/>
        <v>113159</v>
      </c>
      <c r="T9" s="90">
        <f t="shared" si="3"/>
        <v>86119.29000000001</v>
      </c>
    </row>
    <row r="10" spans="1:20" ht="15.75" thickBot="1">
      <c r="A10" s="61">
        <v>8</v>
      </c>
      <c r="B10" s="59" t="s">
        <v>21</v>
      </c>
      <c r="C10" s="26">
        <f>10525.2+11913.17+5330.07+8883.74+11670.27</f>
        <v>48322.45</v>
      </c>
      <c r="D10" s="71">
        <f>11901.18+10720.72+3939.23+6276.91+12882.09</f>
        <v>45720.130000000005</v>
      </c>
      <c r="E10" s="26">
        <f t="shared" si="1"/>
        <v>162722.56999999998</v>
      </c>
      <c r="F10" s="92">
        <f>47457.77+11305.37+6926.57+3795.84+52685.18</f>
        <v>122170.72999999998</v>
      </c>
      <c r="G10" s="26">
        <f>763.21+1200.96+192.93+1435.17+1400.6</f>
        <v>4992.87</v>
      </c>
      <c r="H10" s="26">
        <f>1224.57+1083.64+516.37+527.73+1265.21</f>
        <v>4617.52</v>
      </c>
      <c r="I10" s="27">
        <f>1713.41+10376.94</f>
        <v>12090.35</v>
      </c>
      <c r="J10" s="26"/>
      <c r="K10" s="26">
        <v>3913.1</v>
      </c>
      <c r="L10" s="26">
        <v>15642.42</v>
      </c>
      <c r="M10" s="26"/>
      <c r="N10" s="26"/>
      <c r="O10" s="26">
        <v>3913.1</v>
      </c>
      <c r="P10" s="26"/>
      <c r="Q10" s="71"/>
      <c r="R10" s="73">
        <f t="shared" si="2"/>
        <v>35558.97</v>
      </c>
      <c r="S10" s="89">
        <f t="shared" si="0"/>
        <v>261382.66999999998</v>
      </c>
      <c r="T10" s="90">
        <f t="shared" si="3"/>
        <v>225823.69999999998</v>
      </c>
    </row>
    <row r="11" spans="1:20" ht="15.75" thickBot="1">
      <c r="A11" s="61">
        <v>9</v>
      </c>
      <c r="B11" s="59" t="s">
        <v>22</v>
      </c>
      <c r="C11" s="26">
        <f>19517.18+16430.68+7408.14+8786.97</f>
        <v>52142.97</v>
      </c>
      <c r="D11" s="71">
        <f>21232.31+13479.13+7451.51+9320.8</f>
        <v>51483.75</v>
      </c>
      <c r="E11" s="26">
        <f t="shared" si="1"/>
        <v>82218.12</v>
      </c>
      <c r="F11" s="92">
        <f>17101.73+24140.35+17336.37+10331.83</f>
        <v>68910.28</v>
      </c>
      <c r="G11" s="26">
        <f>894.56+1104.08+1189.98+579.61</f>
        <v>3768.23</v>
      </c>
      <c r="H11" s="26">
        <f>2893.51+1153.12+1269.61+1003.01</f>
        <v>6319.25</v>
      </c>
      <c r="I11" s="27">
        <v>1713.41</v>
      </c>
      <c r="J11" s="26"/>
      <c r="K11" s="26">
        <v>3913.1</v>
      </c>
      <c r="L11" s="26"/>
      <c r="M11" s="26"/>
      <c r="N11" s="26"/>
      <c r="O11" s="26">
        <v>3913.1</v>
      </c>
      <c r="P11" s="26"/>
      <c r="Q11" s="71"/>
      <c r="R11" s="73">
        <f t="shared" si="2"/>
        <v>9539.61</v>
      </c>
      <c r="S11" s="89">
        <f t="shared" si="0"/>
        <v>192164.09000000003</v>
      </c>
      <c r="T11" s="90">
        <f t="shared" si="3"/>
        <v>182624.48000000004</v>
      </c>
    </row>
    <row r="12" spans="1:20" ht="15.75" thickBot="1">
      <c r="A12" s="61">
        <v>10</v>
      </c>
      <c r="B12" s="59" t="s">
        <v>23</v>
      </c>
      <c r="C12" s="26">
        <v>11569.39</v>
      </c>
      <c r="D12" s="71">
        <v>33827.99</v>
      </c>
      <c r="E12" s="26">
        <f t="shared" si="1"/>
        <v>96095.66</v>
      </c>
      <c r="F12" s="92">
        <v>34191.84</v>
      </c>
      <c r="G12" s="26">
        <v>966.6</v>
      </c>
      <c r="H12" s="26">
        <v>1073.17</v>
      </c>
      <c r="I12" s="27">
        <v>18699.7</v>
      </c>
      <c r="J12" s="26"/>
      <c r="K12" s="26"/>
      <c r="L12" s="26">
        <v>30518.18</v>
      </c>
      <c r="M12" s="26"/>
      <c r="N12" s="26"/>
      <c r="O12" s="26">
        <v>11719.34</v>
      </c>
      <c r="P12" s="26"/>
      <c r="Q12" s="71"/>
      <c r="R12" s="73">
        <f t="shared" si="2"/>
        <v>60937.22</v>
      </c>
      <c r="S12" s="89">
        <f t="shared" si="0"/>
        <v>142566.21000000002</v>
      </c>
      <c r="T12" s="90">
        <f t="shared" si="3"/>
        <v>81628.99000000002</v>
      </c>
    </row>
    <row r="13" spans="1:20" ht="15.75" thickBot="1">
      <c r="A13" s="61">
        <v>11</v>
      </c>
      <c r="B13" s="59" t="s">
        <v>24</v>
      </c>
      <c r="C13" s="26">
        <f>9114.05+2082.1+6620.83</f>
        <v>17816.98</v>
      </c>
      <c r="D13" s="108">
        <f>12768.92+1489.9+8584.26</f>
        <v>22843.08</v>
      </c>
      <c r="E13" s="26">
        <f t="shared" si="1"/>
        <v>31105.05</v>
      </c>
      <c r="F13" s="92">
        <f>10980.13+1269.6+9882.39</f>
        <v>22132.12</v>
      </c>
      <c r="G13" s="26">
        <f>762.63+180.8+1002.22</f>
        <v>1945.65</v>
      </c>
      <c r="H13" s="26">
        <f>1447.79+277.91+954.85</f>
        <v>2680.55</v>
      </c>
      <c r="I13" s="27">
        <v>3124.16</v>
      </c>
      <c r="J13" s="26"/>
      <c r="K13" s="26"/>
      <c r="L13" s="26"/>
      <c r="M13" s="26"/>
      <c r="N13" s="26"/>
      <c r="O13" s="26">
        <v>3903.12</v>
      </c>
      <c r="P13" s="26"/>
      <c r="Q13" s="71"/>
      <c r="R13" s="73">
        <f t="shared" si="2"/>
        <v>7027.28</v>
      </c>
      <c r="S13" s="89">
        <f t="shared" si="0"/>
        <v>74445.65999999999</v>
      </c>
      <c r="T13" s="90">
        <f t="shared" si="3"/>
        <v>67418.37999999999</v>
      </c>
    </row>
    <row r="14" spans="1:20" ht="15.75" thickBot="1">
      <c r="A14" s="61">
        <v>12</v>
      </c>
      <c r="B14" s="59" t="s">
        <v>25</v>
      </c>
      <c r="C14" s="26">
        <f>28115.38+21921.88+24490.3</f>
        <v>74527.56</v>
      </c>
      <c r="D14" s="71">
        <f>30225.99+20321.95+24032.38</f>
        <v>74580.32</v>
      </c>
      <c r="E14" s="26">
        <f t="shared" si="1"/>
        <v>95700.76</v>
      </c>
      <c r="F14" s="92">
        <f>15879.53+9177.73+9399.56</f>
        <v>34456.82</v>
      </c>
      <c r="G14" s="26">
        <f>1660.52+1624+1309.61</f>
        <v>4594.13</v>
      </c>
      <c r="H14" s="26">
        <f>3447.4+2219.31+2782.02</f>
        <v>8448.73</v>
      </c>
      <c r="I14" s="27"/>
      <c r="J14" s="26"/>
      <c r="K14" s="26"/>
      <c r="L14" s="26">
        <f>7816.22+19515.6</f>
        <v>27331.82</v>
      </c>
      <c r="M14" s="26">
        <v>1946.25</v>
      </c>
      <c r="N14" s="26"/>
      <c r="O14" s="26">
        <f>11739.3+11719.34</f>
        <v>23458.64</v>
      </c>
      <c r="P14" s="26"/>
      <c r="Q14" s="71">
        <f>3913.1</f>
        <v>3913.1</v>
      </c>
      <c r="R14" s="73">
        <f t="shared" si="2"/>
        <v>56649.81</v>
      </c>
      <c r="S14" s="89">
        <f t="shared" si="0"/>
        <v>253257.37000000002</v>
      </c>
      <c r="T14" s="90">
        <f t="shared" si="3"/>
        <v>196607.56000000003</v>
      </c>
    </row>
    <row r="15" spans="1:20" ht="15.75" thickBot="1">
      <c r="A15" s="61">
        <v>13</v>
      </c>
      <c r="B15" s="59" t="s">
        <v>26</v>
      </c>
      <c r="C15" s="26">
        <v>28997.23</v>
      </c>
      <c r="D15" s="71">
        <v>32402.86</v>
      </c>
      <c r="E15" s="26">
        <f t="shared" si="1"/>
        <v>24185.48</v>
      </c>
      <c r="F15" s="92">
        <v>20917.55</v>
      </c>
      <c r="G15" s="26">
        <v>3267.93</v>
      </c>
      <c r="H15" s="26">
        <v>3406.72</v>
      </c>
      <c r="I15" s="27"/>
      <c r="J15" s="26"/>
      <c r="K15" s="26"/>
      <c r="L15" s="26"/>
      <c r="M15" s="26"/>
      <c r="N15" s="26"/>
      <c r="O15" s="26"/>
      <c r="P15" s="26"/>
      <c r="Q15" s="71"/>
      <c r="R15" s="73">
        <f t="shared" si="2"/>
        <v>0</v>
      </c>
      <c r="S15" s="89">
        <f t="shared" si="0"/>
        <v>88992.29</v>
      </c>
      <c r="T15" s="90">
        <f t="shared" si="3"/>
        <v>88992.29</v>
      </c>
    </row>
    <row r="16" spans="1:29" ht="15.75" thickBot="1">
      <c r="A16" s="61">
        <v>14</v>
      </c>
      <c r="B16" s="59" t="s">
        <v>27</v>
      </c>
      <c r="C16" s="26">
        <v>23943.45</v>
      </c>
      <c r="D16" s="71">
        <v>13132.31</v>
      </c>
      <c r="E16" s="26">
        <f t="shared" si="1"/>
        <v>7761.12</v>
      </c>
      <c r="F16" s="92">
        <v>6581.13</v>
      </c>
      <c r="G16" s="26">
        <v>1179.99</v>
      </c>
      <c r="H16" s="26">
        <v>1997.21</v>
      </c>
      <c r="I16" s="27"/>
      <c r="J16" s="26"/>
      <c r="K16" s="26"/>
      <c r="L16" s="26"/>
      <c r="M16" s="26"/>
      <c r="N16" s="26"/>
      <c r="O16" s="26"/>
      <c r="P16" s="26"/>
      <c r="Q16" s="71"/>
      <c r="R16" s="73">
        <f t="shared" si="2"/>
        <v>0</v>
      </c>
      <c r="S16" s="89">
        <f t="shared" si="0"/>
        <v>46834.09</v>
      </c>
      <c r="T16" s="90">
        <f t="shared" si="3"/>
        <v>46834.09</v>
      </c>
      <c r="U16" s="12"/>
      <c r="V16" s="12" t="s">
        <v>99</v>
      </c>
      <c r="W16" s="12"/>
      <c r="X16" s="12"/>
      <c r="Y16" s="12"/>
      <c r="Z16" s="12"/>
      <c r="AA16" s="12"/>
      <c r="AB16" s="12"/>
      <c r="AC16" s="12"/>
    </row>
    <row r="17" spans="1:20" ht="15.75" thickBot="1">
      <c r="A17" s="61">
        <v>15</v>
      </c>
      <c r="B17" s="59" t="s">
        <v>28</v>
      </c>
      <c r="C17" s="26">
        <f>35835.23+14155.65</f>
        <v>49990.880000000005</v>
      </c>
      <c r="D17" s="71">
        <f>19767.6+10632.02</f>
        <v>30399.62</v>
      </c>
      <c r="E17" s="26">
        <f t="shared" si="1"/>
        <v>37238.16</v>
      </c>
      <c r="F17" s="92">
        <f>21580.65+10776.76</f>
        <v>32357.410000000003</v>
      </c>
      <c r="G17" s="26">
        <f>3565.54+1315.21</f>
        <v>4880.75</v>
      </c>
      <c r="H17" s="26">
        <f>2864.41+643.78</f>
        <v>3508.1899999999996</v>
      </c>
      <c r="I17" s="27"/>
      <c r="J17" s="26"/>
      <c r="K17" s="26"/>
      <c r="L17" s="26"/>
      <c r="M17" s="26"/>
      <c r="N17" s="26"/>
      <c r="O17" s="26"/>
      <c r="P17" s="26"/>
      <c r="Q17" s="71"/>
      <c r="R17" s="73">
        <f t="shared" si="2"/>
        <v>0</v>
      </c>
      <c r="S17" s="89">
        <f t="shared" si="0"/>
        <v>121136.85</v>
      </c>
      <c r="T17" s="90">
        <f t="shared" si="3"/>
        <v>121136.85</v>
      </c>
    </row>
    <row r="18" spans="1:20" ht="15.75" thickBot="1">
      <c r="A18" s="61">
        <v>16</v>
      </c>
      <c r="B18" s="59" t="s">
        <v>29</v>
      </c>
      <c r="C18" s="26">
        <f>12815.66+6124.52</f>
        <v>18940.18</v>
      </c>
      <c r="D18" s="71">
        <f>12693.92+4316.04</f>
        <v>17009.96</v>
      </c>
      <c r="E18" s="26">
        <f t="shared" si="1"/>
        <v>9982.56</v>
      </c>
      <c r="F18" s="92">
        <f>3997.33+2014.24</f>
        <v>6011.57</v>
      </c>
      <c r="G18" s="26">
        <f>1464.54+663.04</f>
        <v>2127.58</v>
      </c>
      <c r="H18" s="26">
        <f>1697.1+615.37</f>
        <v>2312.47</v>
      </c>
      <c r="I18" s="28">
        <v>1843.41</v>
      </c>
      <c r="J18" s="26"/>
      <c r="K18" s="26"/>
      <c r="L18" s="26"/>
      <c r="M18" s="26"/>
      <c r="N18" s="26"/>
      <c r="O18" s="26"/>
      <c r="P18" s="26"/>
      <c r="Q18" s="71"/>
      <c r="R18" s="73">
        <f t="shared" si="2"/>
        <v>1843.41</v>
      </c>
      <c r="S18" s="89">
        <f t="shared" si="0"/>
        <v>48245.170000000006</v>
      </c>
      <c r="T18" s="90">
        <f t="shared" si="3"/>
        <v>46401.76</v>
      </c>
    </row>
    <row r="19" spans="1:20" ht="15.75" thickBot="1">
      <c r="A19" s="61">
        <v>17</v>
      </c>
      <c r="B19" s="59" t="s">
        <v>30</v>
      </c>
      <c r="C19" s="26">
        <v>6617.54</v>
      </c>
      <c r="D19" s="71">
        <v>4337.4</v>
      </c>
      <c r="E19" s="26">
        <f t="shared" si="1"/>
        <v>3262.08</v>
      </c>
      <c r="F19" s="92">
        <v>3036.49</v>
      </c>
      <c r="G19" s="26">
        <v>225.59</v>
      </c>
      <c r="H19" s="26">
        <v>472.4</v>
      </c>
      <c r="I19" s="27"/>
      <c r="J19" s="26"/>
      <c r="K19" s="26"/>
      <c r="L19" s="26"/>
      <c r="M19" s="26"/>
      <c r="N19" s="26"/>
      <c r="O19" s="26"/>
      <c r="P19" s="26"/>
      <c r="Q19" s="71"/>
      <c r="R19" s="73">
        <f t="shared" si="2"/>
        <v>0</v>
      </c>
      <c r="S19" s="89">
        <f t="shared" si="0"/>
        <v>14689.419999999998</v>
      </c>
      <c r="T19" s="90">
        <f t="shared" si="3"/>
        <v>14689.419999999998</v>
      </c>
    </row>
    <row r="20" spans="1:20" ht="15.75" thickBot="1">
      <c r="A20" s="61">
        <v>18</v>
      </c>
      <c r="B20" s="59" t="s">
        <v>31</v>
      </c>
      <c r="C20" s="26">
        <v>3896.15</v>
      </c>
      <c r="D20" s="71">
        <v>2455.22</v>
      </c>
      <c r="E20" s="26">
        <f t="shared" si="1"/>
        <v>1491.22</v>
      </c>
      <c r="F20" s="92">
        <v>1253.4</v>
      </c>
      <c r="G20" s="26">
        <v>237.82</v>
      </c>
      <c r="H20" s="26">
        <v>293.05</v>
      </c>
      <c r="I20" s="27"/>
      <c r="J20" s="26"/>
      <c r="K20" s="26"/>
      <c r="L20" s="26"/>
      <c r="M20" s="26"/>
      <c r="N20" s="26"/>
      <c r="O20" s="26"/>
      <c r="P20" s="26"/>
      <c r="Q20" s="71"/>
      <c r="R20" s="73">
        <f t="shared" si="2"/>
        <v>0</v>
      </c>
      <c r="S20" s="89">
        <f t="shared" si="0"/>
        <v>8135.64</v>
      </c>
      <c r="T20" s="90">
        <f t="shared" si="3"/>
        <v>8135.64</v>
      </c>
    </row>
    <row r="21" spans="1:20" ht="15.75" thickBot="1">
      <c r="A21" s="61">
        <v>19</v>
      </c>
      <c r="B21" s="59" t="s">
        <v>32</v>
      </c>
      <c r="C21" s="26">
        <f>2987.78+4124.02+1841.77+2738.84+1706.55</f>
        <v>13398.960000000001</v>
      </c>
      <c r="D21" s="71">
        <f>2136.12+4808.91+1223.8+3339.4+674.03</f>
        <v>12182.26</v>
      </c>
      <c r="E21" s="26">
        <f t="shared" si="1"/>
        <v>5510.07</v>
      </c>
      <c r="F21" s="92">
        <f>736.16+368.8+663.71+808.15+371.84</f>
        <v>2948.6600000000003</v>
      </c>
      <c r="G21" s="26">
        <f>356.7+1020.13+351.9+797.06+35.62</f>
        <v>2561.41</v>
      </c>
      <c r="H21" s="26">
        <f>751.17+706.71+171.55+483.13+243.22</f>
        <v>2355.7799999999997</v>
      </c>
      <c r="I21" s="27"/>
      <c r="J21" s="26"/>
      <c r="K21" s="26"/>
      <c r="L21" s="26"/>
      <c r="M21" s="26"/>
      <c r="N21" s="26"/>
      <c r="O21" s="26"/>
      <c r="P21" s="26"/>
      <c r="Q21" s="71"/>
      <c r="R21" s="73">
        <f t="shared" si="2"/>
        <v>0</v>
      </c>
      <c r="S21" s="89">
        <f t="shared" si="0"/>
        <v>33447.07</v>
      </c>
      <c r="T21" s="90">
        <f t="shared" si="3"/>
        <v>33447.07</v>
      </c>
    </row>
    <row r="22" spans="1:20" ht="15.75" thickBot="1">
      <c r="A22" s="61">
        <v>20</v>
      </c>
      <c r="B22" s="59" t="s">
        <v>33</v>
      </c>
      <c r="C22" s="26">
        <v>24116.71</v>
      </c>
      <c r="D22" s="71">
        <v>19442.56</v>
      </c>
      <c r="E22" s="26">
        <f t="shared" si="1"/>
        <v>25545.15</v>
      </c>
      <c r="F22" s="92">
        <v>13817.33</v>
      </c>
      <c r="G22" s="26">
        <v>1850.1</v>
      </c>
      <c r="H22" s="26">
        <v>2889.78</v>
      </c>
      <c r="I22" s="27">
        <v>1713.41</v>
      </c>
      <c r="J22" s="26"/>
      <c r="K22" s="26"/>
      <c r="L22" s="26"/>
      <c r="M22" s="26"/>
      <c r="N22" s="26">
        <v>4251.21</v>
      </c>
      <c r="O22" s="26">
        <v>3913.1</v>
      </c>
      <c r="P22" s="26"/>
      <c r="Q22" s="71"/>
      <c r="R22" s="73">
        <f t="shared" si="2"/>
        <v>9877.72</v>
      </c>
      <c r="S22" s="89">
        <f t="shared" si="0"/>
        <v>71994.2</v>
      </c>
      <c r="T22" s="90">
        <f t="shared" si="3"/>
        <v>62116.479999999996</v>
      </c>
    </row>
    <row r="23" spans="1:20" ht="15.75" thickBot="1">
      <c r="A23" s="61">
        <v>21</v>
      </c>
      <c r="B23" s="59" t="s">
        <v>34</v>
      </c>
      <c r="C23" s="26">
        <f>8030.58+28693.66+2861.73+9949.81+4477.2</f>
        <v>54012.979999999996</v>
      </c>
      <c r="D23" s="71">
        <f>7703.54+20631.47+2209.6+7212.42+3727.34</f>
        <v>41484.369999999995</v>
      </c>
      <c r="E23" s="26">
        <f t="shared" si="1"/>
        <v>35037.229999999996</v>
      </c>
      <c r="F23" s="92">
        <f>3120.93+11316.06+1145.43+535.61+3574.33</f>
        <v>19692.36</v>
      </c>
      <c r="G23" s="26">
        <f>1621.42+2305.85+328.46+624.31+10464.83</f>
        <v>15344.869999999999</v>
      </c>
      <c r="H23" s="26">
        <f>639.26+3583.58+275.78+407.81+497.6</f>
        <v>5404.030000000001</v>
      </c>
      <c r="I23" s="27"/>
      <c r="J23" s="26"/>
      <c r="K23" s="26"/>
      <c r="L23" s="26"/>
      <c r="M23" s="26"/>
      <c r="N23" s="26"/>
      <c r="O23" s="26"/>
      <c r="P23" s="26"/>
      <c r="Q23" s="71"/>
      <c r="R23" s="73">
        <f t="shared" si="2"/>
        <v>0</v>
      </c>
      <c r="S23" s="89">
        <f t="shared" si="0"/>
        <v>135938.61</v>
      </c>
      <c r="T23" s="90">
        <f t="shared" si="3"/>
        <v>135938.61</v>
      </c>
    </row>
    <row r="24" spans="1:20" ht="15.75" thickBot="1">
      <c r="A24" s="61">
        <v>22</v>
      </c>
      <c r="B24" s="59" t="s">
        <v>35</v>
      </c>
      <c r="C24" s="26">
        <v>10471.45</v>
      </c>
      <c r="D24" s="71">
        <v>6170.2</v>
      </c>
      <c r="E24" s="26">
        <f t="shared" si="1"/>
        <v>4293.47</v>
      </c>
      <c r="F24" s="92">
        <v>3343.46</v>
      </c>
      <c r="G24" s="26">
        <v>950.01</v>
      </c>
      <c r="H24" s="26">
        <v>656.14</v>
      </c>
      <c r="I24" s="27"/>
      <c r="J24" s="26"/>
      <c r="K24" s="26"/>
      <c r="L24" s="26"/>
      <c r="M24" s="26"/>
      <c r="N24" s="26"/>
      <c r="O24" s="26"/>
      <c r="P24" s="26"/>
      <c r="Q24" s="71"/>
      <c r="R24" s="73">
        <f t="shared" si="2"/>
        <v>0</v>
      </c>
      <c r="S24" s="89">
        <f t="shared" si="0"/>
        <v>21591.26</v>
      </c>
      <c r="T24" s="90">
        <f t="shared" si="3"/>
        <v>21591.26</v>
      </c>
    </row>
    <row r="25" spans="1:20" ht="15.75" thickBot="1">
      <c r="A25" s="61">
        <v>23</v>
      </c>
      <c r="B25" s="59" t="s">
        <v>36</v>
      </c>
      <c r="C25" s="26">
        <f>9902.2+564.36</f>
        <v>10466.560000000001</v>
      </c>
      <c r="D25" s="71">
        <f>4732.29+714.52</f>
        <v>5446.8099999999995</v>
      </c>
      <c r="E25" s="26">
        <f t="shared" si="1"/>
        <v>7261.68</v>
      </c>
      <c r="F25" s="92">
        <f>5312.79+91.29</f>
        <v>5404.08</v>
      </c>
      <c r="G25" s="26">
        <f>1854.09+3.51</f>
        <v>1857.6</v>
      </c>
      <c r="H25" s="26">
        <f>342.68+192.37</f>
        <v>535.05</v>
      </c>
      <c r="I25" s="27"/>
      <c r="J25" s="26"/>
      <c r="K25" s="26"/>
      <c r="L25" s="26"/>
      <c r="M25" s="26"/>
      <c r="N25" s="26"/>
      <c r="O25" s="26"/>
      <c r="P25" s="26"/>
      <c r="Q25" s="71"/>
      <c r="R25" s="73">
        <f t="shared" si="2"/>
        <v>0</v>
      </c>
      <c r="S25" s="89">
        <f t="shared" si="0"/>
        <v>23710.1</v>
      </c>
      <c r="T25" s="90">
        <f t="shared" si="3"/>
        <v>23710.1</v>
      </c>
    </row>
    <row r="26" spans="1:20" ht="15.75" thickBot="1">
      <c r="A26" s="61">
        <v>24</v>
      </c>
      <c r="B26" s="59" t="s">
        <v>37</v>
      </c>
      <c r="C26" s="26">
        <f>17706.72+18516.25+21719.27+10523.62</f>
        <v>68465.86</v>
      </c>
      <c r="D26" s="71">
        <f>20119.85+30390.07+21028.29+12080.03</f>
        <v>83618.23999999999</v>
      </c>
      <c r="E26" s="26">
        <f t="shared" si="1"/>
        <v>214288.98</v>
      </c>
      <c r="F26" s="92">
        <f>6146.65+32548.8+33863.99+7862.61</f>
        <v>80422.05</v>
      </c>
      <c r="G26" s="26">
        <f>1401.43+1218.48+712.65+706.2</f>
        <v>4038.76</v>
      </c>
      <c r="H26" s="26">
        <f>2780.53+2120.65+2287.23+728.64</f>
        <v>7917.05</v>
      </c>
      <c r="I26" s="27">
        <v>3426.8</v>
      </c>
      <c r="J26" s="26"/>
      <c r="K26" s="26">
        <v>7826.2</v>
      </c>
      <c r="L26" s="26">
        <f>59540.56+3913.1</f>
        <v>63453.659999999996</v>
      </c>
      <c r="M26" s="26"/>
      <c r="N26" s="26">
        <v>4251.21</v>
      </c>
      <c r="O26" s="26">
        <v>11739.3</v>
      </c>
      <c r="P26" s="26">
        <v>35217.9</v>
      </c>
      <c r="Q26" s="71">
        <v>3913.1</v>
      </c>
      <c r="R26" s="73">
        <f t="shared" si="2"/>
        <v>129828.17000000001</v>
      </c>
      <c r="S26" s="89">
        <f t="shared" si="0"/>
        <v>374290.13</v>
      </c>
      <c r="T26" s="90">
        <f t="shared" si="3"/>
        <v>244461.96</v>
      </c>
    </row>
    <row r="27" spans="1:20" ht="15.75" thickBot="1">
      <c r="A27" s="61">
        <v>25</v>
      </c>
      <c r="B27" s="59" t="s">
        <v>38</v>
      </c>
      <c r="C27" s="26">
        <f>1804.54</f>
        <v>1804.54</v>
      </c>
      <c r="D27" s="71">
        <f>1384.46</f>
        <v>1384.46</v>
      </c>
      <c r="E27" s="26">
        <f t="shared" si="1"/>
        <v>307.84000000000003</v>
      </c>
      <c r="F27" s="92">
        <f>105.88</f>
        <v>105.88</v>
      </c>
      <c r="G27" s="26">
        <f>201.96</f>
        <v>201.96</v>
      </c>
      <c r="H27" s="26">
        <f>550.24</f>
        <v>550.24</v>
      </c>
      <c r="I27" s="27"/>
      <c r="J27" s="26"/>
      <c r="K27" s="26"/>
      <c r="L27" s="26"/>
      <c r="M27" s="26"/>
      <c r="N27" s="26"/>
      <c r="O27" s="26"/>
      <c r="P27" s="26"/>
      <c r="Q27" s="71"/>
      <c r="R27" s="73">
        <f t="shared" si="2"/>
        <v>0</v>
      </c>
      <c r="S27" s="89">
        <f t="shared" si="0"/>
        <v>4047.08</v>
      </c>
      <c r="T27" s="90">
        <f t="shared" si="3"/>
        <v>4047.08</v>
      </c>
    </row>
    <row r="28" spans="1:20" ht="15.75" thickBot="1">
      <c r="A28" s="61">
        <v>26</v>
      </c>
      <c r="B28" s="59" t="s">
        <v>39</v>
      </c>
      <c r="C28" s="26">
        <v>5580.74</v>
      </c>
      <c r="D28" s="71">
        <v>7700.9</v>
      </c>
      <c r="E28" s="26">
        <f t="shared" si="1"/>
        <v>15506.52</v>
      </c>
      <c r="F28" s="92">
        <v>3421.8</v>
      </c>
      <c r="G28" s="26">
        <v>119.31</v>
      </c>
      <c r="H28" s="26">
        <v>685.39</v>
      </c>
      <c r="I28" s="27"/>
      <c r="J28" s="26"/>
      <c r="K28" s="26"/>
      <c r="L28" s="26"/>
      <c r="M28" s="26"/>
      <c r="N28" s="26"/>
      <c r="O28" s="26">
        <v>11965.41</v>
      </c>
      <c r="P28" s="26"/>
      <c r="Q28" s="71"/>
      <c r="R28" s="73">
        <f t="shared" si="2"/>
        <v>11965.41</v>
      </c>
      <c r="S28" s="89">
        <f t="shared" si="0"/>
        <v>29473.55</v>
      </c>
      <c r="T28" s="90">
        <f t="shared" si="3"/>
        <v>17508.14</v>
      </c>
    </row>
    <row r="29" spans="1:20" ht="15.75" thickBot="1">
      <c r="A29" s="61">
        <v>27</v>
      </c>
      <c r="B29" s="59" t="s">
        <v>40</v>
      </c>
      <c r="C29" s="26">
        <f>17349.8+8126.13</f>
        <v>25475.93</v>
      </c>
      <c r="D29" s="71">
        <f>15560.81+6296.39</f>
        <v>21857.2</v>
      </c>
      <c r="E29" s="26">
        <f t="shared" si="1"/>
        <v>10676.010000000002</v>
      </c>
      <c r="F29" s="92">
        <f>4305.52+3452.94</f>
        <v>7758.460000000001</v>
      </c>
      <c r="G29" s="26">
        <f>1330.86+1586.69</f>
        <v>2917.55</v>
      </c>
      <c r="H29" s="26">
        <f>1483.86+1028.47</f>
        <v>2512.33</v>
      </c>
      <c r="I29" s="27"/>
      <c r="J29" s="26"/>
      <c r="K29" s="26"/>
      <c r="L29" s="26"/>
      <c r="M29" s="26"/>
      <c r="N29" s="26"/>
      <c r="O29" s="26"/>
      <c r="P29" s="26"/>
      <c r="Q29" s="71"/>
      <c r="R29" s="73">
        <f t="shared" si="2"/>
        <v>0</v>
      </c>
      <c r="S29" s="89">
        <f t="shared" si="0"/>
        <v>60521.47000000001</v>
      </c>
      <c r="T29" s="90">
        <f t="shared" si="3"/>
        <v>60521.47000000001</v>
      </c>
    </row>
    <row r="30" spans="1:20" ht="15.75" thickBot="1">
      <c r="A30" s="61">
        <v>28</v>
      </c>
      <c r="B30" s="59" t="s">
        <v>41</v>
      </c>
      <c r="C30" s="26">
        <f>6456.13+528.3</f>
        <v>6984.43</v>
      </c>
      <c r="D30" s="71">
        <f>5483.4+523.96</f>
        <v>6007.36</v>
      </c>
      <c r="E30" s="26">
        <f t="shared" si="1"/>
        <v>7167.2</v>
      </c>
      <c r="F30" s="92">
        <f>6404.4+215.08</f>
        <v>6619.48</v>
      </c>
      <c r="G30" s="26">
        <f>429.32+118.4</f>
        <v>547.72</v>
      </c>
      <c r="H30" s="26">
        <f>645.71+35.77</f>
        <v>681.48</v>
      </c>
      <c r="I30" s="27"/>
      <c r="J30" s="26"/>
      <c r="K30" s="26"/>
      <c r="L30" s="26"/>
      <c r="M30" s="26"/>
      <c r="N30" s="26"/>
      <c r="O30" s="26"/>
      <c r="P30" s="26"/>
      <c r="Q30" s="71"/>
      <c r="R30" s="73">
        <f t="shared" si="2"/>
        <v>0</v>
      </c>
      <c r="S30" s="89">
        <f t="shared" si="0"/>
        <v>20840.47</v>
      </c>
      <c r="T30" s="90">
        <f t="shared" si="3"/>
        <v>20840.47</v>
      </c>
    </row>
    <row r="31" spans="1:20" ht="15.75" thickBot="1">
      <c r="A31" s="61">
        <v>29</v>
      </c>
      <c r="B31" s="59" t="s">
        <v>42</v>
      </c>
      <c r="C31" s="26">
        <f>19649.97+16381.2</f>
        <v>36031.17</v>
      </c>
      <c r="D31" s="71">
        <f>23970.24+18854.95</f>
        <v>42825.19</v>
      </c>
      <c r="E31" s="26">
        <f t="shared" si="1"/>
        <v>17641.97</v>
      </c>
      <c r="F31" s="92">
        <f>10935.98+4011.9</f>
        <v>14947.88</v>
      </c>
      <c r="G31" s="26">
        <f>832.75+1861.34</f>
        <v>2694.09</v>
      </c>
      <c r="H31" s="26">
        <f>3326.37+1142.68</f>
        <v>4469.05</v>
      </c>
      <c r="I31" s="27"/>
      <c r="J31" s="26"/>
      <c r="K31" s="26"/>
      <c r="L31" s="26"/>
      <c r="M31" s="26"/>
      <c r="N31" s="26"/>
      <c r="O31" s="26"/>
      <c r="P31" s="26"/>
      <c r="Q31" s="71"/>
      <c r="R31" s="73">
        <f t="shared" si="2"/>
        <v>0</v>
      </c>
      <c r="S31" s="89">
        <f t="shared" si="0"/>
        <v>100967.38</v>
      </c>
      <c r="T31" s="90">
        <f t="shared" si="3"/>
        <v>100967.38</v>
      </c>
    </row>
    <row r="32" spans="1:20" ht="15.75" thickBot="1">
      <c r="A32" s="61">
        <v>30</v>
      </c>
      <c r="B32" s="59" t="s">
        <v>43</v>
      </c>
      <c r="C32" s="26">
        <f>27842.18+6048.91</f>
        <v>33891.09</v>
      </c>
      <c r="D32" s="71">
        <f>27202.76+4440.86</f>
        <v>31643.62</v>
      </c>
      <c r="E32" s="26">
        <f t="shared" si="1"/>
        <v>35002.63</v>
      </c>
      <c r="F32" s="92">
        <f>14712.22+1211.31</f>
        <v>15923.529999999999</v>
      </c>
      <c r="G32" s="26">
        <f>3098.68+476.19</f>
        <v>3574.87</v>
      </c>
      <c r="H32" s="26">
        <f>4314.7+543.09</f>
        <v>4857.79</v>
      </c>
      <c r="I32" s="27">
        <v>3426.82</v>
      </c>
      <c r="J32" s="26"/>
      <c r="K32" s="26"/>
      <c r="L32" s="26"/>
      <c r="M32" s="26"/>
      <c r="N32" s="26">
        <v>4251.21</v>
      </c>
      <c r="O32" s="26">
        <v>7826.2</v>
      </c>
      <c r="P32" s="26"/>
      <c r="Q32" s="71"/>
      <c r="R32" s="73">
        <f t="shared" si="2"/>
        <v>15504.23</v>
      </c>
      <c r="S32" s="89">
        <f t="shared" si="0"/>
        <v>105395.12999999998</v>
      </c>
      <c r="T32" s="90">
        <f t="shared" si="3"/>
        <v>89890.89999999998</v>
      </c>
    </row>
    <row r="33" spans="1:20" ht="15.75" thickBot="1">
      <c r="A33" s="61">
        <v>31</v>
      </c>
      <c r="B33" s="59" t="s">
        <v>44</v>
      </c>
      <c r="C33" s="26">
        <f>5124.58+510.16</f>
        <v>5634.74</v>
      </c>
      <c r="D33" s="71">
        <f>4135.25+427.94</f>
        <v>4563.19</v>
      </c>
      <c r="E33" s="26">
        <f t="shared" si="1"/>
        <v>2361.3799999999997</v>
      </c>
      <c r="F33" s="92">
        <f>1770.09+252.31</f>
        <v>2022.3999999999999</v>
      </c>
      <c r="G33" s="26">
        <f>335.7+3.28</f>
        <v>338.97999999999996</v>
      </c>
      <c r="H33" s="26">
        <f>482.95+15.8</f>
        <v>498.75</v>
      </c>
      <c r="I33" s="27"/>
      <c r="J33" s="26"/>
      <c r="K33" s="26"/>
      <c r="L33" s="26"/>
      <c r="M33" s="26"/>
      <c r="N33" s="26"/>
      <c r="O33" s="26"/>
      <c r="P33" s="26"/>
      <c r="Q33" s="71"/>
      <c r="R33" s="73">
        <f t="shared" si="2"/>
        <v>0</v>
      </c>
      <c r="S33" s="89">
        <f t="shared" si="0"/>
        <v>13058.06</v>
      </c>
      <c r="T33" s="90">
        <f t="shared" si="3"/>
        <v>13058.06</v>
      </c>
    </row>
    <row r="34" spans="1:20" ht="15.75" thickBot="1">
      <c r="A34" s="61">
        <v>32</v>
      </c>
      <c r="B34" s="59" t="s">
        <v>97</v>
      </c>
      <c r="C34" s="26">
        <v>7220.09</v>
      </c>
      <c r="D34" s="71">
        <v>5750.86</v>
      </c>
      <c r="E34" s="26">
        <f t="shared" si="1"/>
        <v>2852.7599999999998</v>
      </c>
      <c r="F34" s="92">
        <v>2190.22</v>
      </c>
      <c r="G34" s="26">
        <v>662.54</v>
      </c>
      <c r="H34" s="26">
        <v>727.24</v>
      </c>
      <c r="I34" s="27"/>
      <c r="J34" s="26"/>
      <c r="K34" s="26"/>
      <c r="L34" s="26"/>
      <c r="M34" s="26"/>
      <c r="N34" s="26"/>
      <c r="O34" s="26"/>
      <c r="P34" s="26"/>
      <c r="Q34" s="71"/>
      <c r="R34" s="73">
        <f t="shared" si="2"/>
        <v>0</v>
      </c>
      <c r="S34" s="89">
        <f t="shared" si="0"/>
        <v>16550.95</v>
      </c>
      <c r="T34" s="90">
        <f t="shared" si="3"/>
        <v>16550.95</v>
      </c>
    </row>
    <row r="35" spans="1:20" ht="15.75" thickBot="1">
      <c r="A35" s="61">
        <v>33</v>
      </c>
      <c r="B35" s="59" t="s">
        <v>100</v>
      </c>
      <c r="C35" s="26">
        <f>13329.45+3560.71+3083.77</f>
        <v>19973.93</v>
      </c>
      <c r="D35" s="71">
        <f>11904.37+1768.99+3316</f>
        <v>16989.36</v>
      </c>
      <c r="E35" s="26">
        <f t="shared" si="1"/>
        <v>22838.17</v>
      </c>
      <c r="F35" s="92">
        <f>13045.1+1503.75+2120.19</f>
        <v>16669.04</v>
      </c>
      <c r="G35" s="26">
        <f>1804.64+390.66+60.73</f>
        <v>2256.03</v>
      </c>
      <c r="H35" s="26">
        <f>987.86+204.79+282.78</f>
        <v>1475.43</v>
      </c>
      <c r="I35" s="27"/>
      <c r="J35" s="26"/>
      <c r="K35" s="26"/>
      <c r="L35" s="26"/>
      <c r="M35" s="26"/>
      <c r="N35" s="26"/>
      <c r="O35" s="26"/>
      <c r="P35" s="26"/>
      <c r="Q35" s="71">
        <v>3913.1</v>
      </c>
      <c r="R35" s="73">
        <f t="shared" si="2"/>
        <v>3913.1</v>
      </c>
      <c r="S35" s="89">
        <f t="shared" si="0"/>
        <v>61276.89</v>
      </c>
      <c r="T35" s="90">
        <f t="shared" si="3"/>
        <v>57363.79</v>
      </c>
    </row>
    <row r="36" spans="1:20" ht="15.75" thickBot="1">
      <c r="A36" s="61">
        <v>34</v>
      </c>
      <c r="B36" s="59" t="s">
        <v>101</v>
      </c>
      <c r="C36" s="26">
        <v>20600.54</v>
      </c>
      <c r="D36" s="71">
        <v>21273.38</v>
      </c>
      <c r="E36" s="26">
        <f t="shared" si="1"/>
        <v>16343.449999999999</v>
      </c>
      <c r="F36" s="92">
        <v>11849.99</v>
      </c>
      <c r="G36" s="26">
        <v>1076.88</v>
      </c>
      <c r="H36" s="26">
        <v>2125.47</v>
      </c>
      <c r="I36" s="27">
        <v>3416.58</v>
      </c>
      <c r="J36" s="26"/>
      <c r="K36" s="26"/>
      <c r="L36" s="26"/>
      <c r="M36" s="26"/>
      <c r="N36" s="26"/>
      <c r="O36" s="26"/>
      <c r="P36" s="26"/>
      <c r="Q36" s="71"/>
      <c r="R36" s="73">
        <f t="shared" si="2"/>
        <v>3416.58</v>
      </c>
      <c r="S36" s="89">
        <f t="shared" si="0"/>
        <v>60342.84</v>
      </c>
      <c r="T36" s="90">
        <f t="shared" si="3"/>
        <v>56926.259999999995</v>
      </c>
    </row>
    <row r="37" spans="1:20" ht="15.75" thickBot="1">
      <c r="A37" s="61">
        <v>35</v>
      </c>
      <c r="B37" s="59" t="s">
        <v>104</v>
      </c>
      <c r="C37" s="26">
        <v>3328.75</v>
      </c>
      <c r="D37" s="71">
        <v>1668.13</v>
      </c>
      <c r="E37" s="26">
        <f t="shared" si="1"/>
        <v>1236.68</v>
      </c>
      <c r="F37" s="92">
        <v>627.49</v>
      </c>
      <c r="G37" s="26">
        <v>609.19</v>
      </c>
      <c r="H37" s="26">
        <v>153.94</v>
      </c>
      <c r="I37" s="27"/>
      <c r="J37" s="26"/>
      <c r="K37" s="26"/>
      <c r="L37" s="26"/>
      <c r="M37" s="26"/>
      <c r="N37" s="26"/>
      <c r="O37" s="26"/>
      <c r="P37" s="26"/>
      <c r="Q37" s="71"/>
      <c r="R37" s="73">
        <f t="shared" si="2"/>
        <v>0</v>
      </c>
      <c r="S37" s="89">
        <f t="shared" si="0"/>
        <v>6387.499999999999</v>
      </c>
      <c r="T37" s="90">
        <f t="shared" si="3"/>
        <v>6387.499999999999</v>
      </c>
    </row>
    <row r="38" spans="1:20" ht="15.75" thickBot="1">
      <c r="A38" s="61">
        <v>36</v>
      </c>
      <c r="B38" s="59" t="s">
        <v>107</v>
      </c>
      <c r="C38" s="26">
        <v>7017.77</v>
      </c>
      <c r="D38" s="71">
        <v>7255.64</v>
      </c>
      <c r="E38" s="26">
        <f t="shared" si="1"/>
        <v>3528.6</v>
      </c>
      <c r="F38" s="92">
        <v>2572.71</v>
      </c>
      <c r="G38" s="26">
        <v>955.89</v>
      </c>
      <c r="H38" s="26">
        <v>666.89</v>
      </c>
      <c r="I38" s="27"/>
      <c r="J38" s="26"/>
      <c r="K38" s="26"/>
      <c r="L38" s="26"/>
      <c r="M38" s="26"/>
      <c r="N38" s="26"/>
      <c r="O38" s="26"/>
      <c r="P38" s="26"/>
      <c r="Q38" s="71"/>
      <c r="R38" s="73">
        <f t="shared" si="2"/>
        <v>0</v>
      </c>
      <c r="S38" s="89">
        <f t="shared" si="0"/>
        <v>18468.899999999998</v>
      </c>
      <c r="T38" s="90">
        <f t="shared" si="3"/>
        <v>18468.899999999998</v>
      </c>
    </row>
    <row r="39" spans="1:20" ht="15.75" thickBot="1">
      <c r="A39" s="97">
        <v>37</v>
      </c>
      <c r="B39" s="98" t="s">
        <v>108</v>
      </c>
      <c r="C39" s="99">
        <v>6996.26</v>
      </c>
      <c r="D39" s="102">
        <v>3959.38</v>
      </c>
      <c r="E39" s="26">
        <f t="shared" si="1"/>
        <v>5756.679999999999</v>
      </c>
      <c r="F39" s="100">
        <v>5672.95</v>
      </c>
      <c r="G39" s="99">
        <v>83.73</v>
      </c>
      <c r="H39" s="99">
        <v>234.18</v>
      </c>
      <c r="I39" s="101"/>
      <c r="J39" s="99"/>
      <c r="K39" s="99"/>
      <c r="L39" s="99"/>
      <c r="M39" s="99"/>
      <c r="N39" s="99"/>
      <c r="O39" s="99"/>
      <c r="P39" s="99"/>
      <c r="Q39" s="102"/>
      <c r="R39" s="73">
        <f t="shared" si="2"/>
        <v>0</v>
      </c>
      <c r="S39" s="89">
        <f t="shared" si="0"/>
        <v>16946.5</v>
      </c>
      <c r="T39" s="90">
        <f t="shared" si="3"/>
        <v>16946.5</v>
      </c>
    </row>
    <row r="40" spans="1:81" s="105" customFormat="1" ht="15.75" thickBot="1">
      <c r="A40" s="103">
        <v>38</v>
      </c>
      <c r="B40" s="104" t="s">
        <v>127</v>
      </c>
      <c r="C40" s="99">
        <v>95.83</v>
      </c>
      <c r="D40" s="102">
        <v>43.79</v>
      </c>
      <c r="E40" s="26">
        <f t="shared" si="1"/>
        <v>0</v>
      </c>
      <c r="F40" s="100"/>
      <c r="G40" s="99"/>
      <c r="H40" s="99">
        <v>0.65</v>
      </c>
      <c r="I40" s="101"/>
      <c r="J40" s="99"/>
      <c r="K40" s="99"/>
      <c r="L40" s="99"/>
      <c r="M40" s="99"/>
      <c r="N40" s="99"/>
      <c r="O40" s="99"/>
      <c r="P40" s="99"/>
      <c r="Q40" s="99"/>
      <c r="R40" s="73">
        <f t="shared" si="2"/>
        <v>0</v>
      </c>
      <c r="S40" s="89">
        <f t="shared" si="0"/>
        <v>140.27</v>
      </c>
      <c r="T40" s="90">
        <f t="shared" si="3"/>
        <v>140.27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</row>
    <row r="41" spans="1:81" s="107" customFormat="1" ht="26.25" customHeight="1" thickBot="1">
      <c r="A41" s="106"/>
      <c r="B41" s="68" t="s">
        <v>45</v>
      </c>
      <c r="C41" s="69">
        <f>SUM(C3:C40)</f>
        <v>861497.6000000002</v>
      </c>
      <c r="D41" s="109">
        <f aca="true" t="shared" si="4" ref="D41:Q41">SUM(D3:D40)</f>
        <v>830505.7899999999</v>
      </c>
      <c r="E41" s="26">
        <f t="shared" si="1"/>
        <v>1271856.7299999997</v>
      </c>
      <c r="F41" s="110">
        <f t="shared" si="4"/>
        <v>749153.3599999999</v>
      </c>
      <c r="G41" s="69">
        <f t="shared" si="4"/>
        <v>90055.91999999998</v>
      </c>
      <c r="H41" s="69">
        <f t="shared" si="4"/>
        <v>91989.81</v>
      </c>
      <c r="I41" s="69">
        <f t="shared" si="4"/>
        <v>81196.26000000002</v>
      </c>
      <c r="J41" s="69">
        <f t="shared" si="4"/>
        <v>0</v>
      </c>
      <c r="K41" s="69">
        <f t="shared" si="4"/>
        <v>19565.5</v>
      </c>
      <c r="L41" s="69">
        <f t="shared" si="4"/>
        <v>160374.78</v>
      </c>
      <c r="M41" s="69">
        <f t="shared" si="4"/>
        <v>1946.25</v>
      </c>
      <c r="N41" s="69">
        <f t="shared" si="4"/>
        <v>12753.630000000001</v>
      </c>
      <c r="O41" s="69">
        <f t="shared" si="4"/>
        <v>98134.49</v>
      </c>
      <c r="P41" s="69">
        <f t="shared" si="4"/>
        <v>46937.240000000005</v>
      </c>
      <c r="Q41" s="69">
        <f t="shared" si="4"/>
        <v>11739.3</v>
      </c>
      <c r="R41" s="73">
        <f t="shared" si="2"/>
        <v>432647.45</v>
      </c>
      <c r="S41" s="89">
        <f t="shared" si="0"/>
        <v>3055849.93</v>
      </c>
      <c r="T41" s="90">
        <f t="shared" si="3"/>
        <v>2623202.48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</row>
    <row r="42" spans="2:20" ht="15">
      <c r="B42" s="29"/>
      <c r="C42" s="30"/>
      <c r="D42" s="30"/>
      <c r="E42" s="30"/>
      <c r="F42" s="30"/>
      <c r="G42" s="31"/>
      <c r="H42" s="31"/>
      <c r="I42" s="32"/>
      <c r="J42" s="30"/>
      <c r="K42" s="30"/>
      <c r="L42" s="30"/>
      <c r="M42" s="30"/>
      <c r="N42" s="30"/>
      <c r="O42" s="30"/>
      <c r="P42" s="30"/>
      <c r="Q42" s="30"/>
      <c r="R42" s="30"/>
      <c r="T42" s="32"/>
    </row>
    <row r="43" spans="2:20" ht="15">
      <c r="B43" s="33"/>
      <c r="C43" s="30"/>
      <c r="D43" s="30"/>
      <c r="E43" s="30"/>
      <c r="F43" s="30"/>
      <c r="G43" s="31"/>
      <c r="H43" s="31"/>
      <c r="I43" s="32"/>
      <c r="J43" s="30"/>
      <c r="K43" s="30"/>
      <c r="L43" s="30"/>
      <c r="M43" s="30"/>
      <c r="N43" s="30"/>
      <c r="O43" s="30"/>
      <c r="P43" s="30"/>
      <c r="Q43" s="30"/>
      <c r="R43" s="30"/>
      <c r="T43" s="32"/>
    </row>
    <row r="44" spans="2:18" ht="13.5">
      <c r="B44" s="9"/>
      <c r="C44" s="1"/>
      <c r="D44" s="1"/>
      <c r="E44" s="1"/>
      <c r="F44" s="1"/>
      <c r="G44" s="2"/>
      <c r="H44" s="2"/>
      <c r="I44" s="16"/>
      <c r="J44" s="1"/>
      <c r="K44" s="1"/>
      <c r="L44" s="1"/>
      <c r="M44" s="1"/>
      <c r="N44" s="1"/>
      <c r="O44" s="1"/>
      <c r="P44" s="1"/>
      <c r="Q44" s="1"/>
      <c r="R44" s="1"/>
    </row>
    <row r="45" spans="2:18" ht="13.5">
      <c r="B45" s="9"/>
      <c r="C45" s="1"/>
      <c r="D45" s="1"/>
      <c r="E45" s="1"/>
      <c r="F45" s="1"/>
      <c r="G45" s="2"/>
      <c r="H45" s="2"/>
      <c r="I45" s="17"/>
      <c r="J45" s="1"/>
      <c r="K45" s="1"/>
      <c r="L45" s="1"/>
      <c r="M45" s="1"/>
      <c r="N45" s="1"/>
      <c r="O45" s="1"/>
      <c r="P45" s="1"/>
      <c r="Q45" s="1"/>
      <c r="R45" s="1"/>
    </row>
    <row r="46" spans="2:18" ht="13.5">
      <c r="B46" s="9"/>
      <c r="C46" s="1"/>
      <c r="D46" s="1"/>
      <c r="E46" s="1"/>
      <c r="F46" s="1"/>
      <c r="G46" s="2"/>
      <c r="H46" s="2"/>
      <c r="I46" s="16"/>
      <c r="J46" s="1"/>
      <c r="K46" s="1"/>
      <c r="L46" s="1"/>
      <c r="M46" s="1"/>
      <c r="N46" s="1"/>
      <c r="O46" s="1"/>
      <c r="P46" s="1"/>
      <c r="Q46" s="1"/>
      <c r="R46" s="1"/>
    </row>
    <row r="47" spans="2:18" ht="13.5">
      <c r="B47" s="9"/>
      <c r="C47" s="1"/>
      <c r="D47" s="1"/>
      <c r="E47" s="1"/>
      <c r="F47" s="1"/>
      <c r="G47" s="2"/>
      <c r="H47" s="2"/>
      <c r="I47" s="16"/>
      <c r="J47" s="1"/>
      <c r="K47" s="1"/>
      <c r="L47" s="1"/>
      <c r="M47" s="1"/>
      <c r="N47" s="1"/>
      <c r="O47" s="1"/>
      <c r="P47" s="1"/>
      <c r="Q47" s="1"/>
      <c r="R47" s="1"/>
    </row>
    <row r="48" ht="12.75">
      <c r="B48" s="15"/>
    </row>
    <row r="49" spans="2:12" ht="12.75">
      <c r="B49" s="10"/>
      <c r="G49" s="3"/>
      <c r="H49" s="3"/>
      <c r="L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20" ht="12.75">
      <c r="B58" s="11"/>
      <c r="C58" s="4"/>
      <c r="D58" s="4"/>
      <c r="E58" s="4"/>
      <c r="F58" s="4"/>
      <c r="G58" s="4"/>
      <c r="H58" s="4"/>
      <c r="I58" s="19"/>
      <c r="J58" s="4"/>
      <c r="K58" s="4"/>
      <c r="L58" s="4"/>
      <c r="M58" s="4"/>
      <c r="N58" s="4"/>
      <c r="O58" s="4"/>
      <c r="P58" s="4"/>
      <c r="Q58" s="4"/>
      <c r="R58" s="4"/>
      <c r="S58" s="4"/>
      <c r="T58" s="14"/>
    </row>
    <row r="59" spans="2:20" ht="12.75">
      <c r="B59" s="11"/>
      <c r="C59" s="4"/>
      <c r="D59" s="4"/>
      <c r="E59" s="4"/>
      <c r="F59" s="4"/>
      <c r="G59" s="4"/>
      <c r="H59" s="4"/>
      <c r="I59" s="19"/>
      <c r="J59" s="4"/>
      <c r="K59" s="4"/>
      <c r="L59" s="4"/>
      <c r="M59" s="4"/>
      <c r="N59" s="4"/>
      <c r="O59" s="4"/>
      <c r="P59" s="4"/>
      <c r="Q59" s="4"/>
      <c r="R59" s="4"/>
      <c r="S59" s="4"/>
      <c r="T59" s="14"/>
    </row>
    <row r="60" spans="2:20" ht="12.75">
      <c r="B60" s="11"/>
      <c r="C60" s="4"/>
      <c r="D60" s="4"/>
      <c r="E60" s="4"/>
      <c r="F60" s="4"/>
      <c r="G60" s="4"/>
      <c r="H60" s="4"/>
      <c r="I60" s="19"/>
      <c r="J60" s="4"/>
      <c r="K60" s="4"/>
      <c r="L60" s="4"/>
      <c r="M60" s="4"/>
      <c r="N60" s="4"/>
      <c r="O60" s="4"/>
      <c r="P60" s="4"/>
      <c r="Q60" s="4"/>
      <c r="R60" s="4"/>
      <c r="S60" s="4"/>
      <c r="T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21">
      <selection activeCell="G46" sqref="G46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3.5">
      <c r="A3" s="115" t="s">
        <v>123</v>
      </c>
      <c r="B3" s="115"/>
      <c r="C3" s="115"/>
      <c r="D3" s="115"/>
      <c r="E3" s="115"/>
      <c r="F3" s="115"/>
      <c r="G3" s="115"/>
      <c r="H3" s="115"/>
    </row>
    <row r="4" spans="1:8" ht="13.5">
      <c r="A4" s="36"/>
      <c r="B4" s="36"/>
      <c r="C4" s="38"/>
      <c r="D4" s="1"/>
      <c r="E4" s="1"/>
      <c r="F4" s="1"/>
      <c r="G4" s="36"/>
      <c r="H4" s="36"/>
    </row>
    <row r="5" spans="1:8" ht="41.25">
      <c r="A5" s="49" t="s">
        <v>0</v>
      </c>
      <c r="B5" s="49" t="s">
        <v>1</v>
      </c>
      <c r="C5" s="51" t="s">
        <v>61</v>
      </c>
      <c r="D5" s="48"/>
      <c r="E5" s="1"/>
      <c r="F5" s="1"/>
      <c r="G5" s="36"/>
      <c r="H5" s="36"/>
    </row>
    <row r="6" spans="1:8" ht="13.5">
      <c r="A6" s="39" t="s">
        <v>89</v>
      </c>
      <c r="B6" s="7" t="s">
        <v>14</v>
      </c>
      <c r="C6" s="8"/>
      <c r="D6" s="12"/>
      <c r="E6" s="1"/>
      <c r="F6" s="1"/>
      <c r="G6" s="36"/>
      <c r="H6" s="36"/>
    </row>
    <row r="7" spans="1:8" ht="13.5">
      <c r="A7" s="39" t="s">
        <v>62</v>
      </c>
      <c r="B7" s="7" t="s">
        <v>49</v>
      </c>
      <c r="C7" s="47"/>
      <c r="D7" s="12"/>
      <c r="E7" s="1"/>
      <c r="F7" s="1"/>
      <c r="G7" s="36"/>
      <c r="H7" s="36"/>
    </row>
    <row r="8" spans="1:8" ht="13.5">
      <c r="A8" s="39" t="s">
        <v>63</v>
      </c>
      <c r="B8" s="7" t="s">
        <v>16</v>
      </c>
      <c r="C8" s="47"/>
      <c r="D8" s="12"/>
      <c r="E8" s="1"/>
      <c r="F8" s="1"/>
      <c r="G8" s="36"/>
      <c r="H8" s="36"/>
    </row>
    <row r="9" spans="1:8" ht="13.5">
      <c r="A9" s="39" t="s">
        <v>64</v>
      </c>
      <c r="B9" s="7" t="s">
        <v>17</v>
      </c>
      <c r="C9" s="47"/>
      <c r="D9" s="12"/>
      <c r="E9" s="1"/>
      <c r="F9" s="1"/>
      <c r="G9" s="36"/>
      <c r="H9" s="36"/>
    </row>
    <row r="10" spans="1:8" ht="13.5">
      <c r="A10" s="39" t="s">
        <v>65</v>
      </c>
      <c r="B10" s="7" t="s">
        <v>18</v>
      </c>
      <c r="C10" s="47"/>
      <c r="D10" s="12"/>
      <c r="E10" s="1"/>
      <c r="F10" s="1"/>
      <c r="G10" s="36"/>
      <c r="H10" s="36"/>
    </row>
    <row r="11" spans="1:8" ht="13.5">
      <c r="A11" s="39" t="s">
        <v>66</v>
      </c>
      <c r="B11" s="7" t="s">
        <v>19</v>
      </c>
      <c r="C11" s="47"/>
      <c r="D11" s="12"/>
      <c r="E11" s="1"/>
      <c r="F11" s="1"/>
      <c r="G11" s="36"/>
      <c r="H11" s="36"/>
    </row>
    <row r="12" spans="1:8" ht="13.5">
      <c r="A12" s="39" t="s">
        <v>67</v>
      </c>
      <c r="B12" s="7" t="s">
        <v>20</v>
      </c>
      <c r="C12" s="47"/>
      <c r="D12" s="12"/>
      <c r="E12" s="1"/>
      <c r="F12" s="1"/>
      <c r="G12" s="36"/>
      <c r="H12" s="36"/>
    </row>
    <row r="13" spans="1:8" ht="13.5">
      <c r="A13" s="39" t="s">
        <v>68</v>
      </c>
      <c r="B13" s="7" t="s">
        <v>21</v>
      </c>
      <c r="C13" s="47"/>
      <c r="D13" s="12"/>
      <c r="E13" s="1"/>
      <c r="F13" s="1"/>
      <c r="G13" s="36"/>
      <c r="H13" s="36"/>
    </row>
    <row r="14" spans="1:8" ht="13.5">
      <c r="A14" s="39" t="s">
        <v>69</v>
      </c>
      <c r="B14" s="7" t="s">
        <v>22</v>
      </c>
      <c r="C14" s="47"/>
      <c r="D14" s="12"/>
      <c r="E14" s="1"/>
      <c r="F14" s="1"/>
      <c r="G14" s="36"/>
      <c r="H14" s="36"/>
    </row>
    <row r="15" spans="1:8" ht="13.5">
      <c r="A15" s="39" t="s">
        <v>70</v>
      </c>
      <c r="B15" s="7" t="s">
        <v>23</v>
      </c>
      <c r="C15" s="47"/>
      <c r="D15" s="12"/>
      <c r="E15" s="1"/>
      <c r="F15" s="1"/>
      <c r="G15" s="36"/>
      <c r="H15" s="36"/>
    </row>
    <row r="16" spans="1:8" ht="13.5">
      <c r="A16" s="39" t="s">
        <v>71</v>
      </c>
      <c r="B16" s="7" t="s">
        <v>24</v>
      </c>
      <c r="C16" s="47"/>
      <c r="D16" s="12"/>
      <c r="E16" s="1"/>
      <c r="F16" s="1"/>
      <c r="G16" s="36"/>
      <c r="H16" s="36"/>
    </row>
    <row r="17" spans="1:8" ht="13.5">
      <c r="A17" s="39" t="s">
        <v>72</v>
      </c>
      <c r="B17" s="7" t="s">
        <v>50</v>
      </c>
      <c r="C17" s="47"/>
      <c r="D17" s="12"/>
      <c r="E17" s="1"/>
      <c r="F17" s="1"/>
      <c r="G17" s="36"/>
      <c r="H17" s="36"/>
    </row>
    <row r="18" spans="1:8" ht="13.5">
      <c r="A18" s="39" t="s">
        <v>73</v>
      </c>
      <c r="B18" s="7" t="s">
        <v>26</v>
      </c>
      <c r="C18" s="47"/>
      <c r="D18" s="12"/>
      <c r="E18" s="1"/>
      <c r="F18" s="1"/>
      <c r="G18" s="36"/>
      <c r="H18" s="36"/>
    </row>
    <row r="19" spans="1:8" ht="13.5">
      <c r="A19" s="39" t="s">
        <v>74</v>
      </c>
      <c r="B19" s="7" t="s">
        <v>27</v>
      </c>
      <c r="C19" s="47"/>
      <c r="D19" s="12"/>
      <c r="E19" s="1"/>
      <c r="F19" s="1"/>
      <c r="G19" s="36"/>
      <c r="H19" s="36"/>
    </row>
    <row r="20" spans="1:8" ht="13.5">
      <c r="A20" s="39" t="s">
        <v>75</v>
      </c>
      <c r="B20" s="7" t="s">
        <v>28</v>
      </c>
      <c r="C20" s="8"/>
      <c r="D20" s="12"/>
      <c r="E20" s="1"/>
      <c r="F20" s="1"/>
      <c r="G20" s="36"/>
      <c r="H20" s="36"/>
    </row>
    <row r="21" spans="1:8" ht="13.5">
      <c r="A21" s="39" t="s">
        <v>76</v>
      </c>
      <c r="B21" s="7" t="s">
        <v>29</v>
      </c>
      <c r="C21" s="47"/>
      <c r="D21" s="12"/>
      <c r="E21" s="1"/>
      <c r="F21" s="1"/>
      <c r="G21" s="36"/>
      <c r="H21" s="36"/>
    </row>
    <row r="22" spans="1:8" ht="13.5">
      <c r="A22" s="39" t="s">
        <v>77</v>
      </c>
      <c r="B22" s="7" t="s">
        <v>30</v>
      </c>
      <c r="C22" s="47"/>
      <c r="D22" s="12"/>
      <c r="E22" s="1"/>
      <c r="F22" s="1"/>
      <c r="G22" s="36"/>
      <c r="H22" s="36"/>
    </row>
    <row r="23" spans="1:8" ht="13.5">
      <c r="A23" s="39" t="s">
        <v>78</v>
      </c>
      <c r="B23" s="7" t="s">
        <v>31</v>
      </c>
      <c r="C23" s="47"/>
      <c r="D23" s="12"/>
      <c r="E23" s="1"/>
      <c r="F23" s="1"/>
      <c r="G23" s="36"/>
      <c r="H23" s="36"/>
    </row>
    <row r="24" spans="1:8" ht="13.5">
      <c r="A24" s="39" t="s">
        <v>79</v>
      </c>
      <c r="B24" s="7" t="s">
        <v>32</v>
      </c>
      <c r="C24" s="47"/>
      <c r="D24" s="12"/>
      <c r="E24" s="1"/>
      <c r="F24" s="1"/>
      <c r="G24" s="36"/>
      <c r="H24" s="36"/>
    </row>
    <row r="25" spans="1:8" ht="13.5">
      <c r="A25" s="39" t="s">
        <v>80</v>
      </c>
      <c r="B25" s="7" t="s">
        <v>33</v>
      </c>
      <c r="C25" s="47"/>
      <c r="D25" s="12"/>
      <c r="E25" s="1"/>
      <c r="F25" s="1"/>
      <c r="G25" s="36"/>
      <c r="H25" s="36"/>
    </row>
    <row r="26" spans="1:8" ht="13.5">
      <c r="A26" s="39" t="s">
        <v>81</v>
      </c>
      <c r="B26" s="7" t="s">
        <v>34</v>
      </c>
      <c r="C26" s="47"/>
      <c r="D26" s="12"/>
      <c r="E26" s="1"/>
      <c r="F26" s="1"/>
      <c r="G26" s="36"/>
      <c r="H26" s="36"/>
    </row>
    <row r="27" spans="1:8" ht="13.5">
      <c r="A27" s="39" t="s">
        <v>82</v>
      </c>
      <c r="B27" s="7" t="s">
        <v>35</v>
      </c>
      <c r="C27" s="47"/>
      <c r="D27" s="12"/>
      <c r="E27" s="1"/>
      <c r="F27" s="1"/>
      <c r="G27" s="36"/>
      <c r="H27" s="36"/>
    </row>
    <row r="28" spans="1:8" ht="13.5">
      <c r="A28" s="39" t="s">
        <v>83</v>
      </c>
      <c r="B28" s="7" t="s">
        <v>36</v>
      </c>
      <c r="C28" s="47"/>
      <c r="D28" s="12"/>
      <c r="E28" s="1"/>
      <c r="F28" s="1"/>
      <c r="G28" s="36"/>
      <c r="H28" s="36"/>
    </row>
    <row r="29" spans="1:8" ht="13.5">
      <c r="A29" s="39" t="s">
        <v>84</v>
      </c>
      <c r="B29" s="7" t="s">
        <v>37</v>
      </c>
      <c r="C29" s="8">
        <v>420.53</v>
      </c>
      <c r="D29" s="12"/>
      <c r="E29" s="1"/>
      <c r="F29" s="1"/>
      <c r="G29" s="36"/>
      <c r="H29" s="36"/>
    </row>
    <row r="30" spans="1:8" ht="13.5">
      <c r="A30" s="39" t="s">
        <v>85</v>
      </c>
      <c r="B30" s="7" t="s">
        <v>38</v>
      </c>
      <c r="C30" s="47"/>
      <c r="D30" s="12"/>
      <c r="E30" s="1"/>
      <c r="F30" s="1"/>
      <c r="G30" s="36"/>
      <c r="H30" s="36"/>
    </row>
    <row r="31" spans="1:8" ht="13.5">
      <c r="A31" s="39" t="s">
        <v>86</v>
      </c>
      <c r="B31" s="7" t="s">
        <v>39</v>
      </c>
      <c r="C31" s="47"/>
      <c r="D31" s="12"/>
      <c r="E31" s="1"/>
      <c r="F31" s="1"/>
      <c r="G31" s="36"/>
      <c r="H31" s="36"/>
    </row>
    <row r="32" spans="1:8" ht="13.5">
      <c r="A32" s="39" t="s">
        <v>87</v>
      </c>
      <c r="B32" s="7" t="s">
        <v>40</v>
      </c>
      <c r="C32" s="47"/>
      <c r="D32" s="12"/>
      <c r="E32" s="1"/>
      <c r="F32" s="1"/>
      <c r="G32" s="36"/>
      <c r="H32" s="36"/>
    </row>
    <row r="33" spans="1:8" ht="13.5">
      <c r="A33" s="39" t="s">
        <v>88</v>
      </c>
      <c r="B33" s="7" t="s">
        <v>41</v>
      </c>
      <c r="C33" s="47"/>
      <c r="D33" s="12"/>
      <c r="E33" s="1"/>
      <c r="F33" s="1"/>
      <c r="G33" s="36"/>
      <c r="H33" s="36"/>
    </row>
    <row r="34" spans="1:8" ht="13.5">
      <c r="A34" s="39" t="s">
        <v>90</v>
      </c>
      <c r="B34" s="7" t="s">
        <v>42</v>
      </c>
      <c r="C34" s="47"/>
      <c r="D34" s="12"/>
      <c r="E34" s="1"/>
      <c r="F34" s="1"/>
      <c r="G34" s="36"/>
      <c r="H34" s="36"/>
    </row>
    <row r="35" spans="1:8" ht="13.5">
      <c r="A35" s="39" t="s">
        <v>91</v>
      </c>
      <c r="B35" s="7" t="s">
        <v>43</v>
      </c>
      <c r="C35" s="47"/>
      <c r="D35" s="12"/>
      <c r="E35" s="1"/>
      <c r="F35" s="1"/>
      <c r="G35" s="36"/>
      <c r="H35" s="36"/>
    </row>
    <row r="36" spans="1:8" ht="13.5">
      <c r="A36" s="39" t="s">
        <v>92</v>
      </c>
      <c r="B36" s="7" t="s">
        <v>44</v>
      </c>
      <c r="C36" s="47"/>
      <c r="D36" s="12"/>
      <c r="E36" s="1"/>
      <c r="F36" s="1"/>
      <c r="G36" s="36"/>
      <c r="H36" s="36"/>
    </row>
    <row r="37" spans="1:8" ht="13.5">
      <c r="A37" s="39" t="s">
        <v>93</v>
      </c>
      <c r="B37" s="7" t="s">
        <v>98</v>
      </c>
      <c r="C37" s="47"/>
      <c r="D37" s="12"/>
      <c r="E37" s="1"/>
      <c r="F37" s="1"/>
      <c r="G37" s="36"/>
      <c r="H37" s="36"/>
    </row>
    <row r="38" spans="1:8" ht="13.5">
      <c r="A38" s="39" t="s">
        <v>94</v>
      </c>
      <c r="B38" s="7" t="s">
        <v>100</v>
      </c>
      <c r="C38" s="47"/>
      <c r="D38" s="12"/>
      <c r="E38" s="1"/>
      <c r="F38" s="1"/>
      <c r="G38" s="36"/>
      <c r="H38" s="36"/>
    </row>
    <row r="39" spans="1:8" ht="13.5">
      <c r="A39" s="39" t="s">
        <v>95</v>
      </c>
      <c r="B39" s="7" t="s">
        <v>101</v>
      </c>
      <c r="C39" s="47"/>
      <c r="D39" s="12"/>
      <c r="E39" s="1"/>
      <c r="F39" s="1"/>
      <c r="G39" s="36"/>
      <c r="H39" s="36"/>
    </row>
    <row r="40" spans="1:8" ht="13.5">
      <c r="A40" s="39" t="s">
        <v>96</v>
      </c>
      <c r="B40" s="7" t="s">
        <v>104</v>
      </c>
      <c r="C40" s="47"/>
      <c r="D40" s="12"/>
      <c r="E40" s="1"/>
      <c r="F40" s="1"/>
      <c r="G40" s="36"/>
      <c r="H40" s="36"/>
    </row>
    <row r="41" spans="1:8" ht="13.5">
      <c r="A41" s="39" t="s">
        <v>102</v>
      </c>
      <c r="B41" s="7" t="s">
        <v>107</v>
      </c>
      <c r="C41" s="47"/>
      <c r="D41" s="12"/>
      <c r="E41" s="1"/>
      <c r="F41" s="1"/>
      <c r="G41" s="36"/>
      <c r="H41" s="36"/>
    </row>
    <row r="42" spans="1:8" ht="13.5">
      <c r="A42" s="39" t="s">
        <v>105</v>
      </c>
      <c r="B42" s="7" t="s">
        <v>108</v>
      </c>
      <c r="C42" s="47"/>
      <c r="D42" s="12"/>
      <c r="E42" s="1"/>
      <c r="F42" s="1"/>
      <c r="G42" s="36"/>
      <c r="H42" s="36"/>
    </row>
    <row r="43" spans="1:8" ht="15.75" thickBot="1">
      <c r="A43" s="77" t="s">
        <v>109</v>
      </c>
      <c r="B43" s="104" t="s">
        <v>127</v>
      </c>
      <c r="C43" s="94"/>
      <c r="D43" s="12"/>
      <c r="E43" s="1"/>
      <c r="F43" s="1"/>
      <c r="G43" s="36"/>
      <c r="H43" s="36"/>
    </row>
    <row r="44" spans="1:8" ht="14.25" thickBot="1">
      <c r="A44" s="64"/>
      <c r="B44" s="65" t="s">
        <v>45</v>
      </c>
      <c r="C44" s="66">
        <f>SUM(C6:C43)</f>
        <v>420.53</v>
      </c>
      <c r="D44" s="45"/>
      <c r="E44" s="1"/>
      <c r="F44" s="1"/>
      <c r="G44" s="36"/>
      <c r="H44" s="36"/>
    </row>
    <row r="45" spans="1:8" ht="13.5">
      <c r="A45" s="36"/>
      <c r="B45" s="36"/>
      <c r="C45" s="38"/>
      <c r="D45" s="1"/>
      <c r="E45" s="1"/>
      <c r="F45" s="1"/>
      <c r="G45" s="36"/>
      <c r="H45" s="36"/>
    </row>
    <row r="46" spans="1:8" ht="13.5">
      <c r="A46" s="36"/>
      <c r="B46" s="36"/>
      <c r="C46" s="38"/>
      <c r="D46" s="1"/>
      <c r="E46" s="1"/>
      <c r="F46" s="1"/>
      <c r="G46" s="36"/>
      <c r="H46" s="36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G36" sqref="G36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3.5">
      <c r="A3" s="118" t="s">
        <v>124</v>
      </c>
      <c r="B3" s="118"/>
      <c r="C3" s="118"/>
      <c r="D3" s="118"/>
      <c r="E3" s="118"/>
      <c r="F3" s="118"/>
      <c r="G3" s="118"/>
      <c r="H3" s="118"/>
      <c r="I3" s="118"/>
    </row>
    <row r="4" spans="1:9" ht="13.5">
      <c r="A4" s="117"/>
      <c r="B4" s="117"/>
      <c r="C4" s="117"/>
      <c r="D4" s="42"/>
      <c r="E4" s="36"/>
      <c r="F4" s="36"/>
      <c r="G4" s="36"/>
      <c r="H4" s="36"/>
      <c r="I4" s="36"/>
    </row>
    <row r="5" spans="1:9" ht="41.25">
      <c r="A5" s="49" t="s">
        <v>0</v>
      </c>
      <c r="B5" s="49" t="s">
        <v>1</v>
      </c>
      <c r="C5" s="51" t="s">
        <v>125</v>
      </c>
      <c r="D5" s="51" t="s">
        <v>126</v>
      </c>
      <c r="E5" s="36"/>
      <c r="F5" s="36"/>
      <c r="G5" s="36"/>
      <c r="H5" s="36"/>
      <c r="I5" s="36"/>
    </row>
    <row r="6" spans="1:9" ht="13.5">
      <c r="A6" s="39" t="s">
        <v>89</v>
      </c>
      <c r="B6" s="7" t="s">
        <v>14</v>
      </c>
      <c r="C6" s="8"/>
      <c r="D6" s="6"/>
      <c r="E6" s="36"/>
      <c r="F6" s="36"/>
      <c r="G6" s="36"/>
      <c r="H6" s="36"/>
      <c r="I6" s="36"/>
    </row>
    <row r="7" spans="1:9" ht="13.5">
      <c r="A7" s="39" t="s">
        <v>62</v>
      </c>
      <c r="B7" s="7" t="s">
        <v>49</v>
      </c>
      <c r="C7" s="47"/>
      <c r="D7" s="6"/>
      <c r="E7" s="36"/>
      <c r="F7" s="36"/>
      <c r="G7" s="36"/>
      <c r="H7" s="36"/>
      <c r="I7" s="36"/>
    </row>
    <row r="8" spans="1:9" ht="13.5">
      <c r="A8" s="39" t="s">
        <v>63</v>
      </c>
      <c r="B8" s="7" t="s">
        <v>16</v>
      </c>
      <c r="C8" s="8"/>
      <c r="D8" s="6"/>
      <c r="E8" s="36"/>
      <c r="F8" s="36"/>
      <c r="G8" s="36"/>
      <c r="H8" s="36"/>
      <c r="I8" s="36"/>
    </row>
    <row r="9" spans="1:9" ht="13.5">
      <c r="A9" s="39" t="s">
        <v>64</v>
      </c>
      <c r="B9" s="7" t="s">
        <v>17</v>
      </c>
      <c r="C9" s="8"/>
      <c r="D9" s="6"/>
      <c r="E9" s="36"/>
      <c r="F9" s="36"/>
      <c r="G9" s="36"/>
      <c r="H9" s="36"/>
      <c r="I9" s="36"/>
    </row>
    <row r="10" spans="1:9" ht="13.5">
      <c r="A10" s="39" t="s">
        <v>65</v>
      </c>
      <c r="B10" s="7" t="s">
        <v>18</v>
      </c>
      <c r="C10" s="8"/>
      <c r="D10" s="6"/>
      <c r="E10" s="36"/>
      <c r="F10" s="36"/>
      <c r="G10" s="36"/>
      <c r="H10" s="36"/>
      <c r="I10" s="36"/>
    </row>
    <row r="11" spans="1:9" ht="13.5">
      <c r="A11" s="39" t="s">
        <v>66</v>
      </c>
      <c r="B11" s="7" t="s">
        <v>19</v>
      </c>
      <c r="C11" s="8"/>
      <c r="D11" s="6"/>
      <c r="E11" s="36"/>
      <c r="F11" s="36"/>
      <c r="G11" s="36"/>
      <c r="H11" s="36"/>
      <c r="I11" s="36"/>
    </row>
    <row r="12" spans="1:9" ht="13.5">
      <c r="A12" s="39" t="s">
        <v>67</v>
      </c>
      <c r="B12" s="7" t="s">
        <v>20</v>
      </c>
      <c r="C12" s="8"/>
      <c r="D12" s="6"/>
      <c r="E12" s="36"/>
      <c r="F12" s="36"/>
      <c r="G12" s="36"/>
      <c r="H12" s="36"/>
      <c r="I12" s="36"/>
    </row>
    <row r="13" spans="1:9" ht="13.5">
      <c r="A13" s="39" t="s">
        <v>68</v>
      </c>
      <c r="B13" s="7" t="s">
        <v>21</v>
      </c>
      <c r="C13" s="8"/>
      <c r="D13" s="6"/>
      <c r="E13" s="36"/>
      <c r="F13" s="36"/>
      <c r="G13" s="36"/>
      <c r="H13" s="36"/>
      <c r="I13" s="36"/>
    </row>
    <row r="14" spans="1:9" ht="13.5">
      <c r="A14" s="39" t="s">
        <v>69</v>
      </c>
      <c r="B14" s="7" t="s">
        <v>22</v>
      </c>
      <c r="C14" s="8"/>
      <c r="D14" s="6"/>
      <c r="E14" s="36"/>
      <c r="F14" s="36"/>
      <c r="G14" s="36"/>
      <c r="H14" s="36"/>
      <c r="I14" s="36"/>
    </row>
    <row r="15" spans="1:9" ht="13.5">
      <c r="A15" s="39" t="s">
        <v>70</v>
      </c>
      <c r="B15" s="7" t="s">
        <v>23</v>
      </c>
      <c r="C15" s="47"/>
      <c r="D15" s="6"/>
      <c r="E15" s="36"/>
      <c r="F15" s="36"/>
      <c r="G15" s="36"/>
      <c r="H15" s="36"/>
      <c r="I15" s="36"/>
    </row>
    <row r="16" spans="1:9" ht="13.5">
      <c r="A16" s="39" t="s">
        <v>71</v>
      </c>
      <c r="B16" s="7" t="s">
        <v>24</v>
      </c>
      <c r="C16" s="8">
        <f>8248.25</f>
        <v>8248.25</v>
      </c>
      <c r="D16" s="6"/>
      <c r="E16" s="36"/>
      <c r="F16" s="36"/>
      <c r="G16" s="36"/>
      <c r="H16" s="36"/>
      <c r="I16" s="36"/>
    </row>
    <row r="17" spans="1:9" ht="13.5">
      <c r="A17" s="39" t="s">
        <v>72</v>
      </c>
      <c r="B17" s="7" t="s">
        <v>50</v>
      </c>
      <c r="C17" s="8"/>
      <c r="D17" s="6"/>
      <c r="E17" s="36"/>
      <c r="F17" s="36"/>
      <c r="G17" s="36"/>
      <c r="H17" s="36"/>
      <c r="I17" s="36"/>
    </row>
    <row r="18" spans="1:9" ht="13.5">
      <c r="A18" s="39" t="s">
        <v>73</v>
      </c>
      <c r="B18" s="7" t="s">
        <v>26</v>
      </c>
      <c r="C18" s="8"/>
      <c r="D18" s="6"/>
      <c r="E18" s="36"/>
      <c r="F18" s="36"/>
      <c r="G18" s="36"/>
      <c r="H18" s="36"/>
      <c r="I18" s="36"/>
    </row>
    <row r="19" spans="1:9" ht="13.5">
      <c r="A19" s="39" t="s">
        <v>74</v>
      </c>
      <c r="B19" s="7" t="s">
        <v>27</v>
      </c>
      <c r="C19" s="8"/>
      <c r="D19" s="6"/>
      <c r="E19" s="36"/>
      <c r="F19" s="36"/>
      <c r="G19" s="36"/>
      <c r="H19" s="36"/>
      <c r="I19" s="36"/>
    </row>
    <row r="20" spans="1:9" ht="13.5">
      <c r="A20" s="39" t="s">
        <v>75</v>
      </c>
      <c r="B20" s="7" t="s">
        <v>28</v>
      </c>
      <c r="C20" s="8"/>
      <c r="D20" s="6"/>
      <c r="E20" s="36"/>
      <c r="F20" s="36"/>
      <c r="G20" s="36"/>
      <c r="H20" s="36"/>
      <c r="I20" s="36"/>
    </row>
    <row r="21" spans="1:9" ht="13.5">
      <c r="A21" s="39" t="s">
        <v>76</v>
      </c>
      <c r="B21" s="7" t="s">
        <v>29</v>
      </c>
      <c r="C21" s="8"/>
      <c r="D21" s="6"/>
      <c r="E21" s="36"/>
      <c r="F21" s="36"/>
      <c r="G21" s="36"/>
      <c r="H21" s="36"/>
      <c r="I21" s="36"/>
    </row>
    <row r="22" spans="1:9" ht="13.5">
      <c r="A22" s="39" t="s">
        <v>77</v>
      </c>
      <c r="B22" s="7" t="s">
        <v>30</v>
      </c>
      <c r="C22" s="8"/>
      <c r="D22" s="6"/>
      <c r="E22" s="36"/>
      <c r="F22" s="36"/>
      <c r="G22" s="36"/>
      <c r="H22" s="36"/>
      <c r="I22" s="36"/>
    </row>
    <row r="23" spans="1:9" ht="13.5">
      <c r="A23" s="39" t="s">
        <v>78</v>
      </c>
      <c r="B23" s="7" t="s">
        <v>31</v>
      </c>
      <c r="C23" s="8"/>
      <c r="D23" s="6"/>
      <c r="E23" s="36"/>
      <c r="F23" s="36"/>
      <c r="G23" s="36"/>
      <c r="H23" s="36"/>
      <c r="I23" s="36"/>
    </row>
    <row r="24" spans="1:9" ht="13.5">
      <c r="A24" s="39" t="s">
        <v>79</v>
      </c>
      <c r="B24" s="7" t="s">
        <v>32</v>
      </c>
      <c r="C24" s="8"/>
      <c r="D24" s="6"/>
      <c r="E24" s="36"/>
      <c r="F24" s="36"/>
      <c r="G24" s="36"/>
      <c r="H24" s="36"/>
      <c r="I24" s="36"/>
    </row>
    <row r="25" spans="1:9" ht="13.5">
      <c r="A25" s="39" t="s">
        <v>80</v>
      </c>
      <c r="B25" s="7" t="s">
        <v>33</v>
      </c>
      <c r="C25" s="8"/>
      <c r="D25" s="6"/>
      <c r="E25" s="36"/>
      <c r="F25" s="36"/>
      <c r="G25" s="36"/>
      <c r="H25" s="36"/>
      <c r="I25" s="36"/>
    </row>
    <row r="26" spans="1:9" ht="13.5">
      <c r="A26" s="39" t="s">
        <v>81</v>
      </c>
      <c r="B26" s="7" t="s">
        <v>34</v>
      </c>
      <c r="C26" s="8"/>
      <c r="D26" s="6">
        <v>2678.91</v>
      </c>
      <c r="E26" s="36"/>
      <c r="F26" s="36"/>
      <c r="G26" s="36"/>
      <c r="H26" s="36"/>
      <c r="I26" s="36"/>
    </row>
    <row r="27" spans="1:9" ht="13.5">
      <c r="A27" s="39" t="s">
        <v>82</v>
      </c>
      <c r="B27" s="7" t="s">
        <v>35</v>
      </c>
      <c r="C27" s="8"/>
      <c r="D27" s="6"/>
      <c r="E27" s="36"/>
      <c r="F27" s="36"/>
      <c r="G27" s="36"/>
      <c r="H27" s="36"/>
      <c r="I27" s="36"/>
    </row>
    <row r="28" spans="1:9" ht="13.5">
      <c r="A28" s="39" t="s">
        <v>83</v>
      </c>
      <c r="B28" s="7" t="s">
        <v>36</v>
      </c>
      <c r="C28" s="8"/>
      <c r="D28" s="6"/>
      <c r="E28" s="36"/>
      <c r="F28" s="36"/>
      <c r="G28" s="36"/>
      <c r="H28" s="36"/>
      <c r="I28" s="36"/>
    </row>
    <row r="29" spans="1:9" ht="13.5">
      <c r="A29" s="39" t="s">
        <v>84</v>
      </c>
      <c r="B29" s="7" t="s">
        <v>37</v>
      </c>
      <c r="C29" s="8"/>
      <c r="D29" s="6"/>
      <c r="E29" s="36"/>
      <c r="F29" s="36"/>
      <c r="G29" s="36"/>
      <c r="H29" s="36"/>
      <c r="I29" s="36"/>
    </row>
    <row r="30" spans="1:9" ht="13.5">
      <c r="A30" s="39" t="s">
        <v>85</v>
      </c>
      <c r="B30" s="7" t="s">
        <v>38</v>
      </c>
      <c r="C30" s="8"/>
      <c r="D30" s="6"/>
      <c r="E30" s="36"/>
      <c r="F30" s="36"/>
      <c r="G30" s="36"/>
      <c r="H30" s="36"/>
      <c r="I30" s="36"/>
    </row>
    <row r="31" spans="1:9" ht="13.5">
      <c r="A31" s="39" t="s">
        <v>86</v>
      </c>
      <c r="B31" s="7" t="s">
        <v>39</v>
      </c>
      <c r="C31" s="8"/>
      <c r="D31" s="6"/>
      <c r="E31" s="36"/>
      <c r="F31" s="36"/>
      <c r="G31" s="36"/>
      <c r="H31" s="36"/>
      <c r="I31" s="36"/>
    </row>
    <row r="32" spans="1:9" ht="13.5">
      <c r="A32" s="39" t="s">
        <v>87</v>
      </c>
      <c r="B32" s="7" t="s">
        <v>40</v>
      </c>
      <c r="C32" s="8"/>
      <c r="D32" s="6"/>
      <c r="E32" s="36"/>
      <c r="F32" s="36"/>
      <c r="G32" s="36"/>
      <c r="H32" s="36"/>
      <c r="I32" s="36"/>
    </row>
    <row r="33" spans="1:9" ht="13.5">
      <c r="A33" s="39" t="s">
        <v>88</v>
      </c>
      <c r="B33" s="7" t="s">
        <v>41</v>
      </c>
      <c r="C33" s="8"/>
      <c r="D33" s="6"/>
      <c r="E33" s="36"/>
      <c r="F33" s="36"/>
      <c r="G33" s="36"/>
      <c r="H33" s="36"/>
      <c r="I33" s="36"/>
    </row>
    <row r="34" spans="1:9" ht="13.5">
      <c r="A34" s="39" t="s">
        <v>90</v>
      </c>
      <c r="B34" s="7" t="s">
        <v>42</v>
      </c>
      <c r="C34" s="8"/>
      <c r="D34" s="6"/>
      <c r="E34" s="36"/>
      <c r="F34" s="36"/>
      <c r="G34" s="36"/>
      <c r="H34" s="36"/>
      <c r="I34" s="36"/>
    </row>
    <row r="35" spans="1:9" ht="13.5">
      <c r="A35" s="39" t="s">
        <v>91</v>
      </c>
      <c r="B35" s="7" t="s">
        <v>43</v>
      </c>
      <c r="C35" s="8"/>
      <c r="D35" s="6"/>
      <c r="E35" s="36"/>
      <c r="F35" s="36"/>
      <c r="G35" s="36"/>
      <c r="H35" s="36"/>
      <c r="I35" s="36"/>
    </row>
    <row r="36" spans="1:9" ht="13.5">
      <c r="A36" s="39" t="s">
        <v>92</v>
      </c>
      <c r="B36" s="7" t="s">
        <v>44</v>
      </c>
      <c r="C36" s="8"/>
      <c r="D36" s="6"/>
      <c r="E36" s="36"/>
      <c r="F36" s="36"/>
      <c r="G36" s="36"/>
      <c r="H36" s="36"/>
      <c r="I36" s="36"/>
    </row>
    <row r="37" spans="1:9" ht="13.5">
      <c r="A37" s="39" t="s">
        <v>93</v>
      </c>
      <c r="B37" s="7" t="s">
        <v>97</v>
      </c>
      <c r="C37" s="8"/>
      <c r="D37" s="6"/>
      <c r="E37" s="36"/>
      <c r="F37" s="36"/>
      <c r="G37" s="36"/>
      <c r="H37" s="36"/>
      <c r="I37" s="36"/>
    </row>
    <row r="38" spans="1:9" ht="13.5">
      <c r="A38" s="39" t="s">
        <v>94</v>
      </c>
      <c r="B38" s="7" t="s">
        <v>100</v>
      </c>
      <c r="C38" s="8"/>
      <c r="D38" s="6"/>
      <c r="E38" s="36"/>
      <c r="F38" s="36"/>
      <c r="G38" s="36"/>
      <c r="H38" s="36"/>
      <c r="I38" s="36"/>
    </row>
    <row r="39" spans="1:9" ht="13.5">
      <c r="A39" s="39" t="s">
        <v>95</v>
      </c>
      <c r="B39" s="7" t="s">
        <v>101</v>
      </c>
      <c r="C39" s="47"/>
      <c r="D39" s="6"/>
      <c r="E39" s="36"/>
      <c r="F39" s="36"/>
      <c r="G39" s="36"/>
      <c r="H39" s="36"/>
      <c r="I39" s="36"/>
    </row>
    <row r="40" spans="1:9" ht="13.5">
      <c r="A40" s="39" t="s">
        <v>96</v>
      </c>
      <c r="B40" s="7" t="s">
        <v>104</v>
      </c>
      <c r="C40" s="47"/>
      <c r="D40" s="6"/>
      <c r="E40" s="36"/>
      <c r="F40" s="36"/>
      <c r="G40" s="36"/>
      <c r="H40" s="36"/>
      <c r="I40" s="36"/>
    </row>
    <row r="41" spans="1:9" ht="13.5">
      <c r="A41" s="39" t="s">
        <v>102</v>
      </c>
      <c r="B41" s="7" t="s">
        <v>107</v>
      </c>
      <c r="C41" s="47"/>
      <c r="D41" s="6"/>
      <c r="E41" s="36"/>
      <c r="F41" s="36"/>
      <c r="G41" s="36"/>
      <c r="H41" s="36"/>
      <c r="I41" s="36"/>
    </row>
    <row r="42" spans="1:9" ht="13.5">
      <c r="A42" s="39" t="s">
        <v>105</v>
      </c>
      <c r="B42" s="7" t="s">
        <v>108</v>
      </c>
      <c r="C42" s="47"/>
      <c r="D42" s="6"/>
      <c r="E42" s="36"/>
      <c r="F42" s="36"/>
      <c r="G42" s="36"/>
      <c r="H42" s="36"/>
      <c r="I42" s="36"/>
    </row>
    <row r="43" spans="1:9" ht="15.75" thickBot="1">
      <c r="A43" s="77" t="s">
        <v>109</v>
      </c>
      <c r="B43" s="104" t="s">
        <v>127</v>
      </c>
      <c r="C43" s="94"/>
      <c r="D43" s="76"/>
      <c r="E43" s="36"/>
      <c r="F43" s="36"/>
      <c r="G43" s="36"/>
      <c r="H43" s="36"/>
      <c r="I43" s="36"/>
    </row>
    <row r="44" spans="1:9" ht="14.25" thickBot="1">
      <c r="A44" s="93"/>
      <c r="B44" s="95" t="s">
        <v>45</v>
      </c>
      <c r="C44" s="96">
        <f>SUM(C6:C43)</f>
        <v>8248.25</v>
      </c>
      <c r="D44" s="66">
        <f>SUM(D6:D43)</f>
        <v>2678.91</v>
      </c>
      <c r="E44" s="36"/>
      <c r="F44" s="36"/>
      <c r="G44" s="36"/>
      <c r="H44" s="36"/>
      <c r="I44" s="36"/>
    </row>
    <row r="45" spans="1:9" ht="13.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3.5">
      <c r="A46" s="36"/>
      <c r="B46" s="36"/>
      <c r="C46" s="36"/>
      <c r="D46" s="36"/>
      <c r="E46" s="36"/>
      <c r="F46" s="36"/>
      <c r="G46" s="36"/>
      <c r="H46" s="36"/>
      <c r="I46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workbookViewId="0" topLeftCell="A13">
      <selection activeCell="D7" sqref="D7:D44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3.5">
      <c r="A3" s="114" t="s">
        <v>115</v>
      </c>
      <c r="B3" s="114"/>
      <c r="C3" s="114"/>
      <c r="D3" s="114"/>
      <c r="E3" s="114"/>
      <c r="F3" s="114"/>
      <c r="G3" s="114"/>
    </row>
    <row r="4" spans="1:7" ht="13.5">
      <c r="A4" s="34"/>
      <c r="B4" s="35"/>
      <c r="C4" s="35"/>
      <c r="D4" s="34"/>
      <c r="E4" s="34"/>
      <c r="F4" s="34"/>
      <c r="G4" s="36"/>
    </row>
    <row r="5" spans="1:7" ht="14.25" thickBot="1">
      <c r="A5" s="36"/>
      <c r="B5" s="36"/>
      <c r="C5" s="37"/>
      <c r="D5" s="36"/>
      <c r="E5" s="38"/>
      <c r="F5" s="36"/>
      <c r="G5" s="36"/>
    </row>
    <row r="6" spans="1:7" ht="27.75" thickBot="1">
      <c r="A6" s="85" t="s">
        <v>0</v>
      </c>
      <c r="B6" s="86" t="s">
        <v>1</v>
      </c>
      <c r="C6" s="87" t="s">
        <v>46</v>
      </c>
      <c r="D6" s="87" t="s">
        <v>47</v>
      </c>
      <c r="E6" s="88" t="s">
        <v>48</v>
      </c>
      <c r="F6" s="36"/>
      <c r="G6" s="36"/>
    </row>
    <row r="7" spans="1:7" ht="13.5">
      <c r="A7" s="81" t="s">
        <v>89</v>
      </c>
      <c r="B7" s="82" t="s">
        <v>14</v>
      </c>
      <c r="C7" s="83">
        <v>3165.72</v>
      </c>
      <c r="D7" s="83">
        <v>2529.7</v>
      </c>
      <c r="E7" s="84">
        <f>C7+D7</f>
        <v>5695.42</v>
      </c>
      <c r="F7" s="36"/>
      <c r="G7" s="36"/>
    </row>
    <row r="8" spans="1:7" ht="13.5">
      <c r="A8" s="39" t="s">
        <v>62</v>
      </c>
      <c r="B8" s="7" t="s">
        <v>49</v>
      </c>
      <c r="C8" s="6">
        <f>1130.3+922.31</f>
        <v>2052.6099999999997</v>
      </c>
      <c r="D8" s="6">
        <f>904.14+737.81</f>
        <v>1641.9499999999998</v>
      </c>
      <c r="E8" s="84">
        <f aca="true" t="shared" si="0" ref="E8:E45">C8+D8</f>
        <v>3694.5599999999995</v>
      </c>
      <c r="F8" s="36"/>
      <c r="G8" s="36"/>
    </row>
    <row r="9" spans="1:7" ht="13.5">
      <c r="A9" s="39" t="s">
        <v>63</v>
      </c>
      <c r="B9" s="7" t="s">
        <v>16</v>
      </c>
      <c r="C9" s="3">
        <f>519.13+907.12+129.87+1551.2+38.31</f>
        <v>3145.6299999999997</v>
      </c>
      <c r="D9" s="6">
        <f>415.31+725.62+103.88+1240.85+30.67</f>
        <v>2516.33</v>
      </c>
      <c r="E9" s="84">
        <f t="shared" si="0"/>
        <v>5661.959999999999</v>
      </c>
      <c r="F9" s="36"/>
      <c r="G9" s="36"/>
    </row>
    <row r="10" spans="1:7" ht="13.5">
      <c r="A10" s="39" t="s">
        <v>64</v>
      </c>
      <c r="B10" s="7" t="s">
        <v>17</v>
      </c>
      <c r="C10" s="6">
        <f>423.32+117.96</f>
        <v>541.28</v>
      </c>
      <c r="D10" s="6">
        <f>338.63+94.37</f>
        <v>433</v>
      </c>
      <c r="E10" s="84">
        <f t="shared" si="0"/>
        <v>974.28</v>
      </c>
      <c r="F10" s="36"/>
      <c r="G10" s="36"/>
    </row>
    <row r="11" spans="1:7" ht="13.5">
      <c r="A11" s="39" t="s">
        <v>65</v>
      </c>
      <c r="B11" s="7" t="s">
        <v>18</v>
      </c>
      <c r="C11" s="6">
        <f>73.56+328.7</f>
        <v>402.26</v>
      </c>
      <c r="D11" s="6">
        <f>58.85+262.95</f>
        <v>321.8</v>
      </c>
      <c r="E11" s="84">
        <f t="shared" si="0"/>
        <v>724.06</v>
      </c>
      <c r="F11" s="36"/>
      <c r="G11" s="36"/>
    </row>
    <row r="12" spans="1:7" ht="13.5">
      <c r="A12" s="39" t="s">
        <v>66</v>
      </c>
      <c r="B12" s="7" t="s">
        <v>19</v>
      </c>
      <c r="C12" s="6">
        <v>1063.7</v>
      </c>
      <c r="D12" s="6">
        <v>850.94</v>
      </c>
      <c r="E12" s="84">
        <f t="shared" si="0"/>
        <v>1914.64</v>
      </c>
      <c r="F12" s="36"/>
      <c r="G12" s="36"/>
    </row>
    <row r="13" spans="1:7" ht="13.5">
      <c r="A13" s="39" t="s">
        <v>67</v>
      </c>
      <c r="B13" s="7" t="s">
        <v>20</v>
      </c>
      <c r="C13" s="6">
        <f>656.97+496.43</f>
        <v>1153.4</v>
      </c>
      <c r="D13" s="6">
        <f>525.62+397.13</f>
        <v>922.75</v>
      </c>
      <c r="E13" s="84">
        <f t="shared" si="0"/>
        <v>2076.15</v>
      </c>
      <c r="F13" s="36"/>
      <c r="G13" s="36"/>
    </row>
    <row r="14" spans="1:7" ht="13.5">
      <c r="A14" s="39" t="s">
        <v>68</v>
      </c>
      <c r="B14" s="7" t="s">
        <v>21</v>
      </c>
      <c r="C14" s="6">
        <f>637.02+588.57+426.09</f>
        <v>1651.68</v>
      </c>
      <c r="D14" s="6">
        <f>509.57+470.85+340.88</f>
        <v>1321.3000000000002</v>
      </c>
      <c r="E14" s="84">
        <f t="shared" si="0"/>
        <v>2972.9800000000005</v>
      </c>
      <c r="F14" s="36"/>
      <c r="G14" s="36"/>
    </row>
    <row r="15" spans="1:7" ht="13.5">
      <c r="A15" s="39" t="s">
        <v>69</v>
      </c>
      <c r="B15" s="7" t="s">
        <v>22</v>
      </c>
      <c r="C15" s="6">
        <f>873.9+700.29+1524.92+857.18</f>
        <v>3956.29</v>
      </c>
      <c r="D15" s="6">
        <f>699.17+560.26+1219.97+685.68</f>
        <v>3165.0799999999995</v>
      </c>
      <c r="E15" s="84">
        <f t="shared" si="0"/>
        <v>7121.369999999999</v>
      </c>
      <c r="F15" s="36"/>
      <c r="G15" s="36"/>
    </row>
    <row r="16" spans="1:7" ht="13.5">
      <c r="A16" s="39" t="s">
        <v>70</v>
      </c>
      <c r="B16" s="7" t="s">
        <v>23</v>
      </c>
      <c r="C16" s="6">
        <v>338.43</v>
      </c>
      <c r="D16" s="6">
        <v>270.76</v>
      </c>
      <c r="E16" s="84">
        <f t="shared" si="0"/>
        <v>609.19</v>
      </c>
      <c r="F16" s="36"/>
      <c r="G16" s="36"/>
    </row>
    <row r="17" spans="1:7" ht="13.5">
      <c r="A17" s="39" t="s">
        <v>71</v>
      </c>
      <c r="B17" s="7" t="s">
        <v>24</v>
      </c>
      <c r="C17" s="6">
        <f>1321.23+293.67+804.7</f>
        <v>2419.6000000000004</v>
      </c>
      <c r="D17" s="6">
        <f>1056.96+234.95+643.72</f>
        <v>1935.63</v>
      </c>
      <c r="E17" s="84">
        <f t="shared" si="0"/>
        <v>4355.2300000000005</v>
      </c>
      <c r="F17" s="36"/>
      <c r="G17" s="36"/>
    </row>
    <row r="18" spans="1:7" ht="13.5">
      <c r="A18" s="39" t="s">
        <v>72</v>
      </c>
      <c r="B18" s="7" t="s">
        <v>50</v>
      </c>
      <c r="C18" s="6">
        <f>2827.21+2303.25+1822.42</f>
        <v>6952.88</v>
      </c>
      <c r="D18" s="6">
        <f>2261.84+1842.63+1458</f>
        <v>5562.47</v>
      </c>
      <c r="E18" s="84">
        <f t="shared" si="0"/>
        <v>12515.35</v>
      </c>
      <c r="F18" s="36"/>
      <c r="G18" s="36"/>
    </row>
    <row r="19" spans="1:7" ht="13.5">
      <c r="A19" s="39" t="s">
        <v>73</v>
      </c>
      <c r="B19" s="7" t="s">
        <v>26</v>
      </c>
      <c r="C19" s="6">
        <v>2372.48</v>
      </c>
      <c r="D19" s="6">
        <v>1897.8</v>
      </c>
      <c r="E19" s="84">
        <f t="shared" si="0"/>
        <v>4270.28</v>
      </c>
      <c r="F19" s="36"/>
      <c r="G19" s="36"/>
    </row>
    <row r="20" spans="1:7" ht="13.5">
      <c r="A20" s="39" t="s">
        <v>74</v>
      </c>
      <c r="B20" s="7" t="s">
        <v>27</v>
      </c>
      <c r="C20" s="6">
        <v>609</v>
      </c>
      <c r="D20" s="6">
        <v>487.17</v>
      </c>
      <c r="E20" s="84">
        <f t="shared" si="0"/>
        <v>1096.17</v>
      </c>
      <c r="F20" s="36"/>
      <c r="G20" s="36"/>
    </row>
    <row r="21" spans="1:7" ht="13.5">
      <c r="A21" s="39" t="s">
        <v>75</v>
      </c>
      <c r="B21" s="7" t="s">
        <v>28</v>
      </c>
      <c r="C21" s="6">
        <f>1303.3+737.2</f>
        <v>2040.5</v>
      </c>
      <c r="D21" s="6">
        <f>1042.68+589.7</f>
        <v>1632.38</v>
      </c>
      <c r="E21" s="84">
        <f t="shared" si="0"/>
        <v>3672.88</v>
      </c>
      <c r="F21" s="36"/>
      <c r="G21" s="36"/>
    </row>
    <row r="22" spans="1:7" ht="13.5">
      <c r="A22" s="39" t="s">
        <v>76</v>
      </c>
      <c r="B22" s="7" t="s">
        <v>29</v>
      </c>
      <c r="C22" s="6">
        <f>1787.66+751.01</f>
        <v>2538.67</v>
      </c>
      <c r="D22" s="6">
        <f>1430.13+600.75</f>
        <v>2030.88</v>
      </c>
      <c r="E22" s="84">
        <f t="shared" si="0"/>
        <v>4569.55</v>
      </c>
      <c r="F22" s="36"/>
      <c r="G22" s="36"/>
    </row>
    <row r="23" spans="1:7" ht="13.5">
      <c r="A23" s="39" t="s">
        <v>77</v>
      </c>
      <c r="B23" s="7" t="s">
        <v>30</v>
      </c>
      <c r="C23" s="6">
        <v>465.57</v>
      </c>
      <c r="D23" s="6">
        <v>363.96</v>
      </c>
      <c r="E23" s="84">
        <f t="shared" si="0"/>
        <v>829.53</v>
      </c>
      <c r="F23" s="36"/>
      <c r="G23" s="36"/>
    </row>
    <row r="24" spans="1:7" ht="13.5">
      <c r="A24" s="39" t="s">
        <v>78</v>
      </c>
      <c r="B24" s="7" t="s">
        <v>31</v>
      </c>
      <c r="C24" s="6">
        <v>371.04</v>
      </c>
      <c r="D24" s="6">
        <v>296.83</v>
      </c>
      <c r="E24" s="84">
        <f t="shared" si="0"/>
        <v>667.87</v>
      </c>
      <c r="F24" s="36"/>
      <c r="G24" s="36"/>
    </row>
    <row r="25" spans="1:7" ht="13.5">
      <c r="A25" s="39" t="s">
        <v>79</v>
      </c>
      <c r="B25" s="7" t="s">
        <v>32</v>
      </c>
      <c r="C25" s="6">
        <f>399.68+211.43+103.14+5.47+222.26</f>
        <v>941.98</v>
      </c>
      <c r="D25" s="6">
        <f>319.76+169.13+82.51+4.37+177.81</f>
        <v>753.5799999999999</v>
      </c>
      <c r="E25" s="84">
        <f t="shared" si="0"/>
        <v>1695.56</v>
      </c>
      <c r="F25" s="36"/>
      <c r="G25" s="36"/>
    </row>
    <row r="26" spans="1:7" ht="13.5">
      <c r="A26" s="39" t="s">
        <v>80</v>
      </c>
      <c r="B26" s="7" t="s">
        <v>33</v>
      </c>
      <c r="C26" s="6">
        <v>1389.6</v>
      </c>
      <c r="D26" s="6">
        <v>1111.62</v>
      </c>
      <c r="E26" s="84">
        <f t="shared" si="0"/>
        <v>2501.22</v>
      </c>
      <c r="F26" s="36"/>
      <c r="G26" s="36"/>
    </row>
    <row r="27" spans="1:7" ht="13.5">
      <c r="A27" s="39" t="s">
        <v>81</v>
      </c>
      <c r="B27" s="7" t="s">
        <v>34</v>
      </c>
      <c r="C27" s="6">
        <f>546.55+1878.88+226.64+167.53+397.54</f>
        <v>3217.1400000000003</v>
      </c>
      <c r="D27" s="6">
        <f>437.38+1503.48+181.31+134.03+318.02</f>
        <v>2574.2200000000003</v>
      </c>
      <c r="E27" s="84">
        <f t="shared" si="0"/>
        <v>5791.360000000001</v>
      </c>
      <c r="F27" s="36"/>
      <c r="G27" s="36"/>
    </row>
    <row r="28" spans="1:7" ht="13.5">
      <c r="A28" s="39" t="s">
        <v>82</v>
      </c>
      <c r="B28" s="7" t="s">
        <v>35</v>
      </c>
      <c r="C28" s="6">
        <v>603.91</v>
      </c>
      <c r="D28" s="6">
        <v>483.14</v>
      </c>
      <c r="E28" s="84">
        <f t="shared" si="0"/>
        <v>1087.05</v>
      </c>
      <c r="F28" s="36"/>
      <c r="G28" s="36"/>
    </row>
    <row r="29" spans="1:7" ht="13.5">
      <c r="A29" s="39" t="s">
        <v>83</v>
      </c>
      <c r="B29" s="7" t="s">
        <v>36</v>
      </c>
      <c r="C29" s="6">
        <f>811.63</f>
        <v>811.63</v>
      </c>
      <c r="D29" s="6">
        <f>649.22</f>
        <v>649.22</v>
      </c>
      <c r="E29" s="84">
        <f t="shared" si="0"/>
        <v>1460.85</v>
      </c>
      <c r="F29" s="36"/>
      <c r="G29" s="36"/>
    </row>
    <row r="30" spans="1:8" ht="13.5">
      <c r="A30" s="39" t="s">
        <v>84</v>
      </c>
      <c r="B30" s="7" t="s">
        <v>37</v>
      </c>
      <c r="C30" s="6">
        <f>1426.46+1526.21+1973.65+649.74</f>
        <v>5576.0599999999995</v>
      </c>
      <c r="D30" s="6">
        <f>1141.46+1211.7+1578.22+518.92</f>
        <v>4450.3</v>
      </c>
      <c r="E30" s="84">
        <f t="shared" si="0"/>
        <v>10026.36</v>
      </c>
      <c r="F30" s="36"/>
      <c r="G30" s="36"/>
      <c r="H30" s="3"/>
    </row>
    <row r="31" spans="1:7" ht="13.5">
      <c r="A31" s="39" t="s">
        <v>85</v>
      </c>
      <c r="B31" s="7" t="s">
        <v>38</v>
      </c>
      <c r="C31" s="6">
        <v>57.43</v>
      </c>
      <c r="D31" s="6">
        <v>45.95</v>
      </c>
      <c r="E31" s="84">
        <f t="shared" si="0"/>
        <v>103.38</v>
      </c>
      <c r="F31" s="36"/>
      <c r="G31" s="36"/>
    </row>
    <row r="32" spans="1:7" ht="13.5">
      <c r="A32" s="39" t="s">
        <v>86</v>
      </c>
      <c r="B32" s="7" t="s">
        <v>39</v>
      </c>
      <c r="C32" s="6">
        <v>225.5</v>
      </c>
      <c r="D32" s="6">
        <v>180.38</v>
      </c>
      <c r="E32" s="84">
        <f t="shared" si="0"/>
        <v>405.88</v>
      </c>
      <c r="F32" s="36"/>
      <c r="G32" s="36"/>
    </row>
    <row r="33" spans="1:7" ht="13.5">
      <c r="A33" s="39" t="s">
        <v>87</v>
      </c>
      <c r="B33" s="7" t="s">
        <v>40</v>
      </c>
      <c r="C33" s="6">
        <f>1992.48+149.96</f>
        <v>2142.44</v>
      </c>
      <c r="D33" s="6">
        <f>1593.89+119.95</f>
        <v>1713.8400000000001</v>
      </c>
      <c r="E33" s="84">
        <f t="shared" si="0"/>
        <v>3856.28</v>
      </c>
      <c r="F33" s="36"/>
      <c r="G33" s="36"/>
    </row>
    <row r="34" spans="1:7" ht="13.5">
      <c r="A34" s="39" t="s">
        <v>88</v>
      </c>
      <c r="B34" s="7" t="s">
        <v>41</v>
      </c>
      <c r="C34" s="6">
        <f>807.69+59.8</f>
        <v>867.49</v>
      </c>
      <c r="D34" s="6">
        <f>646.18+47.83</f>
        <v>694.01</v>
      </c>
      <c r="E34" s="84">
        <f t="shared" si="0"/>
        <v>1561.5</v>
      </c>
      <c r="F34" s="36"/>
      <c r="G34" s="36"/>
    </row>
    <row r="35" spans="1:7" ht="13.5">
      <c r="A35" s="39" t="s">
        <v>90</v>
      </c>
      <c r="B35" s="7" t="s">
        <v>42</v>
      </c>
      <c r="C35" s="6">
        <f>1556.51+1116.16</f>
        <v>2672.67</v>
      </c>
      <c r="D35" s="6">
        <f>1245.2+892.85</f>
        <v>2138.05</v>
      </c>
      <c r="E35" s="84">
        <f t="shared" si="0"/>
        <v>4810.72</v>
      </c>
      <c r="F35" s="36"/>
      <c r="G35" s="36"/>
    </row>
    <row r="36" spans="1:7" ht="13.5">
      <c r="A36" s="39" t="s">
        <v>91</v>
      </c>
      <c r="B36" s="7" t="s">
        <v>43</v>
      </c>
      <c r="C36" s="6">
        <f>5274.01+180.44</f>
        <v>5454.45</v>
      </c>
      <c r="D36" s="6">
        <f>4219.39+144.37</f>
        <v>4363.76</v>
      </c>
      <c r="E36" s="84">
        <f t="shared" si="0"/>
        <v>9818.21</v>
      </c>
      <c r="F36" s="36"/>
      <c r="G36" s="36"/>
    </row>
    <row r="37" spans="1:7" ht="13.5">
      <c r="A37" s="39" t="s">
        <v>92</v>
      </c>
      <c r="B37" s="7" t="s">
        <v>44</v>
      </c>
      <c r="C37" s="6">
        <f>707.46+27.76</f>
        <v>735.22</v>
      </c>
      <c r="D37" s="6">
        <f>566+22.21</f>
        <v>588.21</v>
      </c>
      <c r="E37" s="84">
        <f t="shared" si="0"/>
        <v>1323.43</v>
      </c>
      <c r="F37" s="36"/>
      <c r="G37" s="36"/>
    </row>
    <row r="38" spans="1:7" ht="13.5">
      <c r="A38" s="39" t="s">
        <v>93</v>
      </c>
      <c r="B38" s="7" t="s">
        <v>97</v>
      </c>
      <c r="C38" s="6">
        <v>110.44</v>
      </c>
      <c r="D38" s="6">
        <v>88.36</v>
      </c>
      <c r="E38" s="84">
        <f t="shared" si="0"/>
        <v>198.8</v>
      </c>
      <c r="F38" s="36"/>
      <c r="G38" s="36"/>
    </row>
    <row r="39" spans="1:7" ht="13.5">
      <c r="A39" s="39" t="s">
        <v>94</v>
      </c>
      <c r="B39" s="7" t="s">
        <v>100</v>
      </c>
      <c r="C39" s="6">
        <f>1787.71+48.78+136.85</f>
        <v>1973.34</v>
      </c>
      <c r="D39" s="6">
        <f>1430.17+39.01+109.47</f>
        <v>1578.65</v>
      </c>
      <c r="E39" s="84">
        <f t="shared" si="0"/>
        <v>3551.99</v>
      </c>
      <c r="F39" s="36"/>
      <c r="G39" s="36"/>
    </row>
    <row r="40" spans="1:7" ht="13.5">
      <c r="A40" s="39" t="s">
        <v>95</v>
      </c>
      <c r="B40" s="7" t="s">
        <v>101</v>
      </c>
      <c r="C40" s="6">
        <v>1878.2</v>
      </c>
      <c r="D40" s="6">
        <v>1502.37</v>
      </c>
      <c r="E40" s="84">
        <f t="shared" si="0"/>
        <v>3380.5699999999997</v>
      </c>
      <c r="F40" s="36"/>
      <c r="G40" s="36"/>
    </row>
    <row r="41" spans="1:7" ht="13.5">
      <c r="A41" s="39" t="s">
        <v>96</v>
      </c>
      <c r="B41" s="7" t="s">
        <v>104</v>
      </c>
      <c r="C41" s="6">
        <v>475.14</v>
      </c>
      <c r="D41" s="6">
        <v>380.12</v>
      </c>
      <c r="E41" s="84">
        <f t="shared" si="0"/>
        <v>855.26</v>
      </c>
      <c r="F41" s="36"/>
      <c r="G41" s="36"/>
    </row>
    <row r="42" spans="1:7" ht="13.5">
      <c r="A42" s="39" t="s">
        <v>102</v>
      </c>
      <c r="B42" s="7" t="s">
        <v>107</v>
      </c>
      <c r="C42" s="6">
        <v>417.74</v>
      </c>
      <c r="D42" s="6">
        <v>334.21</v>
      </c>
      <c r="E42" s="84">
        <f t="shared" si="0"/>
        <v>751.95</v>
      </c>
      <c r="F42" s="36"/>
      <c r="G42" s="36"/>
    </row>
    <row r="43" spans="1:7" ht="13.5">
      <c r="A43" s="39" t="s">
        <v>105</v>
      </c>
      <c r="B43" s="7" t="s">
        <v>108</v>
      </c>
      <c r="C43" s="6">
        <v>388.12</v>
      </c>
      <c r="D43" s="6">
        <v>310.46</v>
      </c>
      <c r="E43" s="84">
        <f t="shared" si="0"/>
        <v>698.5799999999999</v>
      </c>
      <c r="F43" s="36"/>
      <c r="G43" s="36"/>
    </row>
    <row r="44" spans="1:7" ht="15.75" thickBot="1">
      <c r="A44" s="77" t="s">
        <v>109</v>
      </c>
      <c r="B44" s="104" t="s">
        <v>127</v>
      </c>
      <c r="C44" s="76"/>
      <c r="D44" s="76"/>
      <c r="E44" s="84">
        <f t="shared" si="0"/>
        <v>0</v>
      </c>
      <c r="F44" s="36"/>
      <c r="G44" s="36"/>
    </row>
    <row r="45" spans="1:7" ht="14.25" thickBot="1">
      <c r="A45" s="78"/>
      <c r="B45" s="79" t="s">
        <v>45</v>
      </c>
      <c r="C45" s="80">
        <f>SUM(C7:C44)</f>
        <v>65179.23999999999</v>
      </c>
      <c r="D45" s="80">
        <f>SUM(D7:D44)</f>
        <v>52121.18000000002</v>
      </c>
      <c r="E45" s="84">
        <f t="shared" si="0"/>
        <v>117300.42000000001</v>
      </c>
      <c r="F45" s="36"/>
      <c r="G45" s="36"/>
    </row>
    <row r="46" spans="1:7" ht="13.5">
      <c r="A46" s="36"/>
      <c r="B46" s="36"/>
      <c r="C46" s="1"/>
      <c r="D46" s="1"/>
      <c r="E46" s="40"/>
      <c r="F46" s="36"/>
      <c r="G46" s="36"/>
    </row>
    <row r="48" ht="12.75">
      <c r="D48" s="3"/>
    </row>
    <row r="49" ht="12.75">
      <c r="C49" s="3"/>
    </row>
    <row r="56" ht="12.75">
      <c r="C56" s="3">
        <f>E45+DIABET!C44+INS!C42+MIXT!E44+TESTE!C45+TESTE!D45+'COST VOLUM'!C44+ONCO!C44+POSTT!C44+SCLEROZ!C44+MUCOV!C44+MUCOV!D44</f>
        <v>1151583.82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25">
      <selection activeCell="C45" sqref="C45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3.5">
      <c r="A3" s="115" t="s">
        <v>116</v>
      </c>
      <c r="B3" s="115"/>
      <c r="C3" s="115"/>
      <c r="D3" s="115"/>
      <c r="E3" s="115"/>
      <c r="F3" s="115"/>
      <c r="G3" s="115"/>
      <c r="H3" s="115"/>
    </row>
    <row r="4" spans="1:8" ht="13.5">
      <c r="A4" s="36"/>
      <c r="B4" s="36"/>
      <c r="C4" s="38"/>
      <c r="D4" s="1"/>
      <c r="E4" s="1"/>
      <c r="F4" s="1"/>
      <c r="G4" s="36"/>
      <c r="H4" s="36"/>
    </row>
    <row r="5" spans="1:8" ht="27">
      <c r="A5" s="49" t="s">
        <v>0</v>
      </c>
      <c r="B5" s="49" t="s">
        <v>1</v>
      </c>
      <c r="C5" s="51" t="s">
        <v>51</v>
      </c>
      <c r="D5" s="1"/>
      <c r="E5" s="1"/>
      <c r="F5" s="1"/>
      <c r="G5" s="36"/>
      <c r="H5" s="36"/>
    </row>
    <row r="6" spans="1:8" ht="13.5">
      <c r="A6" s="39" t="s">
        <v>89</v>
      </c>
      <c r="B6" s="7" t="s">
        <v>14</v>
      </c>
      <c r="C6" s="8">
        <v>9053.84</v>
      </c>
      <c r="D6" s="1"/>
      <c r="E6" s="1"/>
      <c r="F6" s="1"/>
      <c r="G6" s="36"/>
      <c r="H6" s="36"/>
    </row>
    <row r="7" spans="1:8" ht="13.5">
      <c r="A7" s="39" t="s">
        <v>62</v>
      </c>
      <c r="B7" s="7" t="s">
        <v>49</v>
      </c>
      <c r="C7" s="8">
        <f>8823.97+1850.26</f>
        <v>10674.23</v>
      </c>
      <c r="D7" s="1"/>
      <c r="E7" s="1"/>
      <c r="F7" s="1"/>
      <c r="G7" s="36"/>
      <c r="H7" s="36"/>
    </row>
    <row r="8" spans="1:8" ht="13.5">
      <c r="A8" s="39" t="s">
        <v>63</v>
      </c>
      <c r="B8" s="7" t="s">
        <v>16</v>
      </c>
      <c r="C8" s="8">
        <f>672.98+2145.61+342.98+2161.57+97.14</f>
        <v>5420.280000000001</v>
      </c>
      <c r="D8" s="1"/>
      <c r="E8" s="1"/>
      <c r="F8" s="1"/>
      <c r="G8" s="36"/>
      <c r="H8" s="36"/>
    </row>
    <row r="9" spans="1:8" ht="13.5">
      <c r="A9" s="39" t="s">
        <v>64</v>
      </c>
      <c r="B9" s="7" t="s">
        <v>17</v>
      </c>
      <c r="C9" s="8">
        <f>1524.49+925.62</f>
        <v>2450.11</v>
      </c>
      <c r="D9" s="1"/>
      <c r="E9" s="1"/>
      <c r="F9" s="1"/>
      <c r="G9" s="36"/>
      <c r="H9" s="36"/>
    </row>
    <row r="10" spans="1:8" ht="13.5">
      <c r="A10" s="39" t="s">
        <v>65</v>
      </c>
      <c r="B10" s="7" t="s">
        <v>18</v>
      </c>
      <c r="C10" s="8">
        <f>325.77+666.59</f>
        <v>992.36</v>
      </c>
      <c r="D10" s="1"/>
      <c r="E10" s="1"/>
      <c r="F10" s="1"/>
      <c r="G10" s="36"/>
      <c r="H10" s="36"/>
    </row>
    <row r="11" spans="1:8" ht="13.5">
      <c r="A11" s="39" t="s">
        <v>66</v>
      </c>
      <c r="B11" s="7" t="s">
        <v>19</v>
      </c>
      <c r="C11" s="8">
        <v>3952.78</v>
      </c>
      <c r="D11" s="1"/>
      <c r="E11" s="1"/>
      <c r="F11" s="1"/>
      <c r="G11" s="36"/>
      <c r="H11" s="36"/>
    </row>
    <row r="12" spans="1:8" ht="13.5">
      <c r="A12" s="39" t="s">
        <v>67</v>
      </c>
      <c r="B12" s="7" t="s">
        <v>20</v>
      </c>
      <c r="C12" s="8">
        <v>3511.42</v>
      </c>
      <c r="D12" s="1"/>
      <c r="E12" s="1"/>
      <c r="F12" s="1"/>
      <c r="G12" s="36"/>
      <c r="H12" s="36"/>
    </row>
    <row r="13" spans="1:8" ht="13.5">
      <c r="A13" s="39" t="s">
        <v>68</v>
      </c>
      <c r="B13" s="7" t="s">
        <v>21</v>
      </c>
      <c r="C13" s="8">
        <f>3185.06+3144.89+555.73+1192.82+4366.3</f>
        <v>12444.8</v>
      </c>
      <c r="D13" s="1"/>
      <c r="E13" s="1"/>
      <c r="F13" s="1"/>
      <c r="G13" s="36"/>
      <c r="H13" s="36"/>
    </row>
    <row r="14" spans="1:8" ht="13.5">
      <c r="A14" s="39" t="s">
        <v>69</v>
      </c>
      <c r="B14" s="7" t="s">
        <v>22</v>
      </c>
      <c r="C14" s="8">
        <f>3879.77+4150.31+512.75+871.97</f>
        <v>9414.8</v>
      </c>
      <c r="D14" s="1"/>
      <c r="E14" s="1"/>
      <c r="F14" s="1"/>
      <c r="G14" s="36"/>
      <c r="H14" s="36"/>
    </row>
    <row r="15" spans="1:8" ht="13.5">
      <c r="A15" s="39" t="s">
        <v>70</v>
      </c>
      <c r="B15" s="7" t="s">
        <v>23</v>
      </c>
      <c r="C15" s="8">
        <v>11362.28</v>
      </c>
      <c r="D15" s="1"/>
      <c r="E15" s="1"/>
      <c r="F15" s="1"/>
      <c r="G15" s="36"/>
      <c r="H15" s="36"/>
    </row>
    <row r="16" spans="1:8" ht="13.5">
      <c r="A16" s="39" t="s">
        <v>71</v>
      </c>
      <c r="B16" s="7" t="s">
        <v>24</v>
      </c>
      <c r="C16" s="8">
        <f>6242.64+445.18+1824.79</f>
        <v>8512.61</v>
      </c>
      <c r="D16" s="1"/>
      <c r="E16" s="1"/>
      <c r="F16" s="1"/>
      <c r="G16" s="36"/>
      <c r="H16" s="36"/>
    </row>
    <row r="17" spans="1:8" ht="13.5">
      <c r="A17" s="39" t="s">
        <v>72</v>
      </c>
      <c r="B17" s="7" t="s">
        <v>50</v>
      </c>
      <c r="C17" s="8">
        <f>8508.23+3588.13+7441.82</f>
        <v>19538.18</v>
      </c>
      <c r="D17" s="1"/>
      <c r="E17" s="1"/>
      <c r="F17" s="1"/>
      <c r="G17" s="36"/>
      <c r="H17" s="36"/>
    </row>
    <row r="18" spans="1:8" ht="13.5">
      <c r="A18" s="39" t="s">
        <v>73</v>
      </c>
      <c r="B18" s="7" t="s">
        <v>26</v>
      </c>
      <c r="C18" s="8">
        <v>7354.22</v>
      </c>
      <c r="D18" s="1"/>
      <c r="E18" s="1"/>
      <c r="F18" s="1"/>
      <c r="G18" s="36"/>
      <c r="H18" s="36"/>
    </row>
    <row r="19" spans="1:8" ht="13.5">
      <c r="A19" s="39" t="s">
        <v>74</v>
      </c>
      <c r="B19" s="7" t="s">
        <v>27</v>
      </c>
      <c r="C19" s="8">
        <v>2057.11</v>
      </c>
      <c r="D19" s="1"/>
      <c r="E19" s="1"/>
      <c r="F19" s="1"/>
      <c r="G19" s="36"/>
      <c r="H19" s="36"/>
    </row>
    <row r="20" spans="1:8" ht="13.5">
      <c r="A20" s="39" t="s">
        <v>75</v>
      </c>
      <c r="B20" s="7" t="s">
        <v>28</v>
      </c>
      <c r="C20" s="8">
        <f>6626.56+987.42</f>
        <v>7613.9800000000005</v>
      </c>
      <c r="D20" s="1"/>
      <c r="E20" s="1"/>
      <c r="F20" s="1"/>
      <c r="G20" s="36"/>
      <c r="H20" s="36"/>
    </row>
    <row r="21" spans="1:8" ht="13.5">
      <c r="A21" s="39" t="s">
        <v>76</v>
      </c>
      <c r="B21" s="7" t="s">
        <v>29</v>
      </c>
      <c r="C21" s="8">
        <v>1921</v>
      </c>
      <c r="D21" s="1"/>
      <c r="E21" s="1"/>
      <c r="F21" s="1"/>
      <c r="G21" s="36"/>
      <c r="H21" s="36"/>
    </row>
    <row r="22" spans="1:8" ht="13.5">
      <c r="A22" s="39" t="s">
        <v>77</v>
      </c>
      <c r="B22" s="7" t="s">
        <v>30</v>
      </c>
      <c r="C22" s="8">
        <v>2393.76</v>
      </c>
      <c r="D22" s="1"/>
      <c r="E22" s="1"/>
      <c r="F22" s="1"/>
      <c r="G22" s="36"/>
      <c r="H22" s="36"/>
    </row>
    <row r="23" spans="1:8" ht="13.5">
      <c r="A23" s="39" t="s">
        <v>78</v>
      </c>
      <c r="B23" s="7" t="s">
        <v>31</v>
      </c>
      <c r="C23" s="8">
        <v>528.11</v>
      </c>
      <c r="D23" s="1"/>
      <c r="E23" s="1"/>
      <c r="F23" s="1"/>
      <c r="G23" s="36"/>
      <c r="H23" s="36"/>
    </row>
    <row r="24" spans="1:8" ht="13.5">
      <c r="A24" s="39" t="s">
        <v>79</v>
      </c>
      <c r="B24" s="7" t="s">
        <v>32</v>
      </c>
      <c r="C24" s="8">
        <f>460.99+123.43+269.14+20.02+210.76</f>
        <v>1084.3400000000001</v>
      </c>
      <c r="D24" s="1"/>
      <c r="E24" s="1"/>
      <c r="F24" s="1"/>
      <c r="G24" s="36"/>
      <c r="H24" s="36"/>
    </row>
    <row r="25" spans="1:8" ht="13.5">
      <c r="A25" s="39" t="s">
        <v>80</v>
      </c>
      <c r="B25" s="7" t="s">
        <v>33</v>
      </c>
      <c r="C25" s="8">
        <v>4304.39</v>
      </c>
      <c r="D25" s="1"/>
      <c r="E25" s="1"/>
      <c r="F25" s="1"/>
      <c r="G25" s="36"/>
      <c r="H25" s="36"/>
    </row>
    <row r="26" spans="1:8" ht="13.5">
      <c r="A26" s="39" t="s">
        <v>81</v>
      </c>
      <c r="B26" s="7" t="s">
        <v>34</v>
      </c>
      <c r="C26" s="8">
        <f>1189.64+5913.55+78.45+105+445.5</f>
        <v>7732.14</v>
      </c>
      <c r="D26" s="1"/>
      <c r="E26" s="1"/>
      <c r="F26" s="1"/>
      <c r="G26" s="36"/>
      <c r="H26" s="36"/>
    </row>
    <row r="27" spans="1:8" ht="13.5">
      <c r="A27" s="39" t="s">
        <v>82</v>
      </c>
      <c r="B27" s="7" t="s">
        <v>35</v>
      </c>
      <c r="C27" s="8">
        <v>1248.4</v>
      </c>
      <c r="D27" s="1"/>
      <c r="E27" s="1"/>
      <c r="F27" s="1"/>
      <c r="G27" s="36"/>
      <c r="H27" s="36"/>
    </row>
    <row r="28" spans="1:8" ht="13.5">
      <c r="A28" s="39" t="s">
        <v>83</v>
      </c>
      <c r="B28" s="7" t="s">
        <v>36</v>
      </c>
      <c r="C28" s="8">
        <f>2245.27+49.95</f>
        <v>2295.22</v>
      </c>
      <c r="D28" s="1"/>
      <c r="E28" s="1"/>
      <c r="F28" s="1"/>
      <c r="G28" s="36"/>
      <c r="H28" s="36"/>
    </row>
    <row r="29" spans="1:8" ht="13.5">
      <c r="A29" s="39" t="s">
        <v>84</v>
      </c>
      <c r="B29" s="7" t="s">
        <v>37</v>
      </c>
      <c r="C29" s="8">
        <f>2556.67+5950.24+3268.46+1940.84</f>
        <v>13716.21</v>
      </c>
      <c r="D29" s="1"/>
      <c r="E29" s="1"/>
      <c r="F29" s="1"/>
      <c r="G29" s="36"/>
      <c r="H29" s="36"/>
    </row>
    <row r="30" spans="1:8" ht="13.5">
      <c r="A30" s="39" t="s">
        <v>85</v>
      </c>
      <c r="B30" s="7" t="s">
        <v>38</v>
      </c>
      <c r="C30" s="8"/>
      <c r="D30" s="1"/>
      <c r="E30" s="1"/>
      <c r="F30" s="1"/>
      <c r="G30" s="36"/>
      <c r="H30" s="36"/>
    </row>
    <row r="31" spans="1:8" ht="13.5">
      <c r="A31" s="39" t="s">
        <v>86</v>
      </c>
      <c r="B31" s="7" t="s">
        <v>39</v>
      </c>
      <c r="C31" s="8">
        <v>8749.65</v>
      </c>
      <c r="D31" s="1"/>
      <c r="E31" s="1"/>
      <c r="F31" s="1"/>
      <c r="G31" s="36"/>
      <c r="H31" s="36"/>
    </row>
    <row r="32" spans="1:8" ht="13.5">
      <c r="A32" s="39" t="s">
        <v>87</v>
      </c>
      <c r="B32" s="7" t="s">
        <v>40</v>
      </c>
      <c r="C32" s="8">
        <f>6120.82+398.59</f>
        <v>6519.41</v>
      </c>
      <c r="D32" s="1"/>
      <c r="E32" s="1"/>
      <c r="F32" s="1"/>
      <c r="G32" s="36"/>
      <c r="H32" s="36"/>
    </row>
    <row r="33" spans="1:8" ht="13.5">
      <c r="A33" s="39" t="s">
        <v>88</v>
      </c>
      <c r="B33" s="7" t="s">
        <v>41</v>
      </c>
      <c r="C33" s="8">
        <f>1728.55+90.58</f>
        <v>1819.1299999999999</v>
      </c>
      <c r="D33" s="1"/>
      <c r="E33" s="1"/>
      <c r="F33" s="1"/>
      <c r="G33" s="36"/>
      <c r="H33" s="36"/>
    </row>
    <row r="34" spans="1:8" ht="13.5">
      <c r="A34" s="39" t="s">
        <v>90</v>
      </c>
      <c r="B34" s="7" t="s">
        <v>42</v>
      </c>
      <c r="C34" s="8">
        <f>8342.43+3528.59</f>
        <v>11871.02</v>
      </c>
      <c r="D34" s="1"/>
      <c r="E34" s="1"/>
      <c r="F34" s="1"/>
      <c r="G34" s="36"/>
      <c r="H34" s="36"/>
    </row>
    <row r="35" spans="1:8" ht="13.5">
      <c r="A35" s="39" t="s">
        <v>91</v>
      </c>
      <c r="B35" s="7" t="s">
        <v>43</v>
      </c>
      <c r="C35" s="8">
        <f>3311.3+899.38</f>
        <v>4210.68</v>
      </c>
      <c r="D35" s="1"/>
      <c r="E35" s="1"/>
      <c r="F35" s="1"/>
      <c r="G35" s="36"/>
      <c r="H35" s="36"/>
    </row>
    <row r="36" spans="1:8" ht="13.5">
      <c r="A36" s="39" t="s">
        <v>92</v>
      </c>
      <c r="B36" s="7" t="s">
        <v>44</v>
      </c>
      <c r="C36" s="8">
        <f>398.84</f>
        <v>398.84</v>
      </c>
      <c r="D36" s="1"/>
      <c r="E36" s="1"/>
      <c r="F36" s="1"/>
      <c r="G36" s="36"/>
      <c r="H36" s="36"/>
    </row>
    <row r="37" spans="1:8" ht="13.5">
      <c r="A37" s="39" t="s">
        <v>93</v>
      </c>
      <c r="B37" s="7" t="s">
        <v>97</v>
      </c>
      <c r="C37" s="8">
        <v>654.93</v>
      </c>
      <c r="D37" s="1"/>
      <c r="E37" s="1"/>
      <c r="F37" s="1"/>
      <c r="G37" s="36"/>
      <c r="H37" s="36"/>
    </row>
    <row r="38" spans="1:8" ht="13.5">
      <c r="A38" s="39" t="s">
        <v>94</v>
      </c>
      <c r="B38" s="7" t="s">
        <v>100</v>
      </c>
      <c r="C38" s="8">
        <f>1791.91+210.98+1390.48</f>
        <v>3393.37</v>
      </c>
      <c r="D38" s="1"/>
      <c r="E38" s="1"/>
      <c r="F38" s="1"/>
      <c r="G38" s="36"/>
      <c r="H38" s="36"/>
    </row>
    <row r="39" spans="1:8" ht="13.5">
      <c r="A39" s="39" t="s">
        <v>95</v>
      </c>
      <c r="B39" s="7" t="s">
        <v>101</v>
      </c>
      <c r="C39" s="8">
        <v>11945.55</v>
      </c>
      <c r="D39" s="1"/>
      <c r="E39" s="1"/>
      <c r="F39" s="1"/>
      <c r="G39" s="36"/>
      <c r="H39" s="36"/>
    </row>
    <row r="40" spans="1:8" ht="13.5">
      <c r="A40" s="39" t="s">
        <v>96</v>
      </c>
      <c r="B40" s="7" t="s">
        <v>104</v>
      </c>
      <c r="C40" s="8">
        <v>861.71</v>
      </c>
      <c r="D40" s="1"/>
      <c r="E40" s="1"/>
      <c r="F40" s="1"/>
      <c r="G40" s="36"/>
      <c r="H40" s="36"/>
    </row>
    <row r="41" spans="1:8" ht="13.5">
      <c r="A41" s="39" t="s">
        <v>102</v>
      </c>
      <c r="B41" s="7" t="s">
        <v>107</v>
      </c>
      <c r="C41" s="8">
        <v>1236.73</v>
      </c>
      <c r="D41" s="1"/>
      <c r="E41" s="1"/>
      <c r="F41" s="1"/>
      <c r="G41" s="36"/>
      <c r="H41" s="36"/>
    </row>
    <row r="42" spans="1:8" ht="13.5">
      <c r="A42" s="39" t="s">
        <v>105</v>
      </c>
      <c r="B42" s="7" t="s">
        <v>108</v>
      </c>
      <c r="C42" s="8">
        <v>862.5</v>
      </c>
      <c r="D42" s="1"/>
      <c r="E42" s="1"/>
      <c r="F42" s="1"/>
      <c r="G42" s="36"/>
      <c r="H42" s="36"/>
    </row>
    <row r="43" spans="1:8" ht="15">
      <c r="A43" s="39" t="s">
        <v>109</v>
      </c>
      <c r="B43" s="104" t="s">
        <v>127</v>
      </c>
      <c r="C43" s="8"/>
      <c r="D43" s="1"/>
      <c r="E43" s="1"/>
      <c r="F43" s="1"/>
      <c r="G43" s="36"/>
      <c r="H43" s="36"/>
    </row>
    <row r="44" spans="1:8" ht="13.5">
      <c r="A44" s="52"/>
      <c r="B44" s="7" t="s">
        <v>45</v>
      </c>
      <c r="C44" s="8">
        <f>SUM(C6:C43)</f>
        <v>202100.08999999994</v>
      </c>
      <c r="D44" s="1"/>
      <c r="E44" s="1"/>
      <c r="F44" s="1"/>
      <c r="G44" s="36"/>
      <c r="H44" s="36"/>
    </row>
    <row r="45" spans="1:8" ht="13.5">
      <c r="A45" s="36"/>
      <c r="B45" s="36"/>
      <c r="C45" s="38"/>
      <c r="D45" s="1"/>
      <c r="E45" s="1"/>
      <c r="F45" s="1"/>
      <c r="G45" s="36"/>
      <c r="H45" s="36"/>
    </row>
    <row r="46" spans="1:8" ht="13.5">
      <c r="A46" s="36"/>
      <c r="B46" s="36"/>
      <c r="C46" s="38"/>
      <c r="D46" s="1"/>
      <c r="E46" s="1"/>
      <c r="F46" s="36"/>
      <c r="G46" s="36"/>
      <c r="H46" s="36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8">
      <selection activeCell="D29" sqref="D29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6" t="s">
        <v>117</v>
      </c>
      <c r="B1" s="116"/>
      <c r="C1" s="116"/>
      <c r="D1" s="116"/>
      <c r="E1" s="116"/>
      <c r="F1" s="116"/>
      <c r="G1" s="116"/>
      <c r="H1" s="116"/>
    </row>
    <row r="2" spans="1:8" ht="13.5">
      <c r="A2" s="36"/>
      <c r="B2" s="36"/>
      <c r="C2" s="36"/>
      <c r="D2" s="41"/>
      <c r="E2" s="36"/>
      <c r="F2" s="36"/>
      <c r="G2" s="36"/>
      <c r="H2" s="36"/>
    </row>
    <row r="3" spans="1:8" ht="27">
      <c r="A3" s="49" t="s">
        <v>0</v>
      </c>
      <c r="B3" s="49" t="s">
        <v>1</v>
      </c>
      <c r="C3" s="50" t="s">
        <v>52</v>
      </c>
      <c r="D3" s="41"/>
      <c r="E3" s="36"/>
      <c r="F3" s="36"/>
      <c r="G3" s="36"/>
      <c r="H3" s="36"/>
    </row>
    <row r="4" spans="1:8" ht="13.5">
      <c r="A4" s="39" t="s">
        <v>89</v>
      </c>
      <c r="B4" s="7" t="s">
        <v>14</v>
      </c>
      <c r="C4" s="7">
        <v>21951.44</v>
      </c>
      <c r="D4" s="41"/>
      <c r="E4" s="36"/>
      <c r="F4" s="36"/>
      <c r="G4" s="36"/>
      <c r="H4" s="36"/>
    </row>
    <row r="5" spans="1:8" ht="13.5">
      <c r="A5" s="39" t="s">
        <v>62</v>
      </c>
      <c r="B5" s="7" t="s">
        <v>49</v>
      </c>
      <c r="C5" s="7"/>
      <c r="D5" s="41"/>
      <c r="E5" s="36"/>
      <c r="F5" s="36"/>
      <c r="G5" s="36"/>
      <c r="H5" s="36"/>
    </row>
    <row r="6" spans="1:8" ht="13.5">
      <c r="A6" s="39" t="s">
        <v>63</v>
      </c>
      <c r="B6" s="7" t="s">
        <v>16</v>
      </c>
      <c r="C6" s="7"/>
      <c r="D6" s="41"/>
      <c r="E6" s="36"/>
      <c r="F6" s="36"/>
      <c r="G6" s="36"/>
      <c r="H6" s="36"/>
    </row>
    <row r="7" spans="1:8" ht="13.5">
      <c r="A7" s="39" t="s">
        <v>64</v>
      </c>
      <c r="B7" s="7" t="s">
        <v>17</v>
      </c>
      <c r="C7" s="7">
        <v>1377.13</v>
      </c>
      <c r="D7" s="41"/>
      <c r="E7" s="36"/>
      <c r="F7" s="36"/>
      <c r="G7" s="36"/>
      <c r="H7" s="36"/>
    </row>
    <row r="8" spans="1:8" ht="13.5">
      <c r="A8" s="39" t="s">
        <v>65</v>
      </c>
      <c r="B8" s="7" t="s">
        <v>18</v>
      </c>
      <c r="C8" s="7">
        <v>757.5</v>
      </c>
      <c r="D8" s="41"/>
      <c r="E8" s="36"/>
      <c r="F8" s="36"/>
      <c r="G8" s="36"/>
      <c r="H8" s="36"/>
    </row>
    <row r="9" spans="1:8" ht="13.5">
      <c r="A9" s="39" t="s">
        <v>66</v>
      </c>
      <c r="B9" s="7" t="s">
        <v>19</v>
      </c>
      <c r="C9" s="7">
        <v>679.15</v>
      </c>
      <c r="D9" s="41"/>
      <c r="E9" s="36"/>
      <c r="F9" s="36"/>
      <c r="G9" s="36"/>
      <c r="H9" s="36"/>
    </row>
    <row r="10" spans="1:8" ht="13.5">
      <c r="A10" s="39" t="s">
        <v>67</v>
      </c>
      <c r="B10" s="7" t="s">
        <v>20</v>
      </c>
      <c r="C10" s="7">
        <v>2275</v>
      </c>
      <c r="D10" s="41"/>
      <c r="E10" s="36"/>
      <c r="F10" s="36"/>
      <c r="G10" s="36"/>
      <c r="H10" s="36"/>
    </row>
    <row r="11" spans="1:8" ht="13.5">
      <c r="A11" s="39" t="s">
        <v>68</v>
      </c>
      <c r="B11" s="7" t="s">
        <v>21</v>
      </c>
      <c r="C11" s="7">
        <f>2101.52+2630.63+3109.48</f>
        <v>7841.629999999999</v>
      </c>
      <c r="D11" s="41"/>
      <c r="E11" s="36"/>
      <c r="F11" s="36"/>
      <c r="G11" s="36"/>
      <c r="H11" s="36"/>
    </row>
    <row r="12" spans="1:8" ht="13.5">
      <c r="A12" s="39" t="s">
        <v>69</v>
      </c>
      <c r="B12" s="7" t="s">
        <v>22</v>
      </c>
      <c r="C12" s="7">
        <f>1912.97</f>
        <v>1912.97</v>
      </c>
      <c r="D12" s="41"/>
      <c r="E12" s="36"/>
      <c r="F12" s="36"/>
      <c r="G12" s="36"/>
      <c r="H12" s="36"/>
    </row>
    <row r="13" spans="1:8" ht="13.5">
      <c r="A13" s="39" t="s">
        <v>70</v>
      </c>
      <c r="B13" s="7" t="s">
        <v>23</v>
      </c>
      <c r="C13" s="7">
        <v>12868.49</v>
      </c>
      <c r="D13" s="41"/>
      <c r="E13" s="36"/>
      <c r="F13" s="36"/>
      <c r="G13" s="36"/>
      <c r="H13" s="36"/>
    </row>
    <row r="14" spans="1:8" ht="13.5">
      <c r="A14" s="39" t="s">
        <v>71</v>
      </c>
      <c r="B14" s="7" t="s">
        <v>24</v>
      </c>
      <c r="C14" s="7">
        <f>6152.87</f>
        <v>6152.87</v>
      </c>
      <c r="D14" s="41"/>
      <c r="E14" s="36"/>
      <c r="F14" s="36"/>
      <c r="G14" s="36"/>
      <c r="H14" s="36"/>
    </row>
    <row r="15" spans="1:8" ht="13.5">
      <c r="A15" s="39" t="s">
        <v>72</v>
      </c>
      <c r="B15" s="7" t="s">
        <v>50</v>
      </c>
      <c r="C15" s="7">
        <f>1462.96+921+3148.16</f>
        <v>5532.12</v>
      </c>
      <c r="D15" s="41"/>
      <c r="E15" s="36"/>
      <c r="F15" s="36"/>
      <c r="G15" s="36"/>
      <c r="H15" s="36"/>
    </row>
    <row r="16" spans="1:8" ht="13.5">
      <c r="A16" s="39" t="s">
        <v>73</v>
      </c>
      <c r="B16" s="7" t="s">
        <v>26</v>
      </c>
      <c r="C16" s="7">
        <v>2075.25</v>
      </c>
      <c r="D16" s="41"/>
      <c r="E16" s="36"/>
      <c r="F16" s="36"/>
      <c r="G16" s="36"/>
      <c r="H16" s="36"/>
    </row>
    <row r="17" spans="1:8" ht="13.5">
      <c r="A17" s="39" t="s">
        <v>74</v>
      </c>
      <c r="B17" s="7" t="s">
        <v>27</v>
      </c>
      <c r="C17" s="7">
        <v>4243.74</v>
      </c>
      <c r="D17" s="41"/>
      <c r="E17" s="36"/>
      <c r="F17" s="36"/>
      <c r="G17" s="36"/>
      <c r="H17" s="36"/>
    </row>
    <row r="18" spans="1:8" ht="13.5">
      <c r="A18" s="39" t="s">
        <v>75</v>
      </c>
      <c r="B18" s="7" t="s">
        <v>28</v>
      </c>
      <c r="C18" s="7">
        <v>8966.3</v>
      </c>
      <c r="D18" s="41"/>
      <c r="E18" s="36"/>
      <c r="F18" s="36"/>
      <c r="G18" s="36"/>
      <c r="H18" s="36"/>
    </row>
    <row r="19" spans="1:8" ht="13.5">
      <c r="A19" s="39" t="s">
        <v>76</v>
      </c>
      <c r="B19" s="7" t="s">
        <v>29</v>
      </c>
      <c r="C19" s="7"/>
      <c r="D19" s="41"/>
      <c r="E19" s="36"/>
      <c r="F19" s="36"/>
      <c r="G19" s="36"/>
      <c r="H19" s="36"/>
    </row>
    <row r="20" spans="1:8" ht="13.5">
      <c r="A20" s="39" t="s">
        <v>77</v>
      </c>
      <c r="B20" s="7" t="s">
        <v>30</v>
      </c>
      <c r="C20" s="7"/>
      <c r="D20" s="41"/>
      <c r="E20" s="36"/>
      <c r="F20" s="36"/>
      <c r="G20" s="36"/>
      <c r="H20" s="36"/>
    </row>
    <row r="21" spans="1:8" ht="13.5">
      <c r="A21" s="39" t="s">
        <v>78</v>
      </c>
      <c r="B21" s="7" t="s">
        <v>31</v>
      </c>
      <c r="C21" s="7"/>
      <c r="D21" s="41"/>
      <c r="E21" s="36"/>
      <c r="F21" s="36"/>
      <c r="G21" s="36"/>
      <c r="H21" s="36"/>
    </row>
    <row r="22" spans="1:8" ht="13.5">
      <c r="A22" s="39" t="s">
        <v>79</v>
      </c>
      <c r="B22" s="7" t="s">
        <v>32</v>
      </c>
      <c r="C22" s="7"/>
      <c r="D22" s="41"/>
      <c r="E22" s="36"/>
      <c r="F22" s="36"/>
      <c r="G22" s="36"/>
      <c r="H22" s="36"/>
    </row>
    <row r="23" spans="1:8" ht="13.5">
      <c r="A23" s="39" t="s">
        <v>80</v>
      </c>
      <c r="B23" s="7" t="s">
        <v>33</v>
      </c>
      <c r="C23" s="7">
        <v>3994.53</v>
      </c>
      <c r="D23" s="41"/>
      <c r="E23" s="36"/>
      <c r="F23" s="36"/>
      <c r="G23" s="36"/>
      <c r="H23" s="36"/>
    </row>
    <row r="24" spans="1:8" ht="13.5">
      <c r="A24" s="39" t="s">
        <v>81</v>
      </c>
      <c r="B24" s="7" t="s">
        <v>34</v>
      </c>
      <c r="C24" s="7">
        <f>987.61</f>
        <v>987.61</v>
      </c>
      <c r="D24" s="41"/>
      <c r="E24" s="36"/>
      <c r="F24" s="36"/>
      <c r="G24" s="36"/>
      <c r="H24" s="36"/>
    </row>
    <row r="25" spans="1:8" ht="13.5">
      <c r="A25" s="39" t="s">
        <v>82</v>
      </c>
      <c r="B25" s="7" t="s">
        <v>35</v>
      </c>
      <c r="C25" s="7">
        <v>217.26</v>
      </c>
      <c r="D25" s="41"/>
      <c r="E25" s="36"/>
      <c r="F25" s="36"/>
      <c r="G25" s="36"/>
      <c r="H25" s="36"/>
    </row>
    <row r="26" spans="1:8" ht="13.5">
      <c r="A26" s="39" t="s">
        <v>83</v>
      </c>
      <c r="B26" s="7" t="s">
        <v>36</v>
      </c>
      <c r="C26" s="7">
        <f>271</f>
        <v>271</v>
      </c>
      <c r="D26" s="41"/>
      <c r="E26" s="36"/>
      <c r="F26" s="36"/>
      <c r="G26" s="36"/>
      <c r="H26" s="36"/>
    </row>
    <row r="27" spans="1:8" ht="13.5">
      <c r="A27" s="39" t="s">
        <v>84</v>
      </c>
      <c r="B27" s="7" t="s">
        <v>37</v>
      </c>
      <c r="C27" s="7">
        <f>4712.8+2018.66+1012.03</f>
        <v>7743.49</v>
      </c>
      <c r="D27" s="41"/>
      <c r="E27" s="36"/>
      <c r="F27" s="36"/>
      <c r="G27" s="36"/>
      <c r="H27" s="36"/>
    </row>
    <row r="28" spans="1:8" ht="13.5">
      <c r="A28" s="39" t="s">
        <v>85</v>
      </c>
      <c r="B28" s="7" t="s">
        <v>38</v>
      </c>
      <c r="C28" s="7"/>
      <c r="D28" s="41"/>
      <c r="E28" s="36"/>
      <c r="F28" s="36"/>
      <c r="G28" s="36"/>
      <c r="H28" s="36"/>
    </row>
    <row r="29" spans="1:8" ht="13.5">
      <c r="A29" s="39" t="s">
        <v>86</v>
      </c>
      <c r="B29" s="7" t="s">
        <v>39</v>
      </c>
      <c r="C29" s="7">
        <v>9900.47</v>
      </c>
      <c r="D29" s="41"/>
      <c r="E29" s="36"/>
      <c r="F29" s="36"/>
      <c r="G29" s="36"/>
      <c r="H29" s="36"/>
    </row>
    <row r="30" spans="1:8" ht="13.5">
      <c r="A30" s="39" t="s">
        <v>87</v>
      </c>
      <c r="B30" s="7" t="s">
        <v>40</v>
      </c>
      <c r="C30" s="7">
        <f>1504.28</f>
        <v>1504.28</v>
      </c>
      <c r="D30" s="41"/>
      <c r="E30" s="36"/>
      <c r="F30" s="36"/>
      <c r="G30" s="36"/>
      <c r="H30" s="36"/>
    </row>
    <row r="31" spans="1:8" ht="13.5">
      <c r="A31" s="39" t="s">
        <v>88</v>
      </c>
      <c r="B31" s="7" t="s">
        <v>41</v>
      </c>
      <c r="C31" s="7"/>
      <c r="D31" s="41"/>
      <c r="E31" s="36"/>
      <c r="F31" s="36"/>
      <c r="G31" s="36"/>
      <c r="H31" s="36"/>
    </row>
    <row r="32" spans="1:8" ht="13.5">
      <c r="A32" s="39" t="s">
        <v>90</v>
      </c>
      <c r="B32" s="7" t="s">
        <v>42</v>
      </c>
      <c r="C32" s="7">
        <f>3201.61+655.56</f>
        <v>3857.17</v>
      </c>
      <c r="D32" s="41"/>
      <c r="E32" s="36"/>
      <c r="F32" s="36"/>
      <c r="G32" s="36"/>
      <c r="H32" s="36"/>
    </row>
    <row r="33" spans="1:8" ht="13.5">
      <c r="A33" s="39" t="s">
        <v>91</v>
      </c>
      <c r="B33" s="7" t="s">
        <v>43</v>
      </c>
      <c r="C33" s="7"/>
      <c r="D33" s="41"/>
      <c r="E33" s="36"/>
      <c r="F33" s="36"/>
      <c r="G33" s="36"/>
      <c r="H33" s="36"/>
    </row>
    <row r="34" spans="1:8" ht="13.5">
      <c r="A34" s="39" t="s">
        <v>92</v>
      </c>
      <c r="B34" s="7" t="s">
        <v>44</v>
      </c>
      <c r="C34" s="7">
        <f>804.87</f>
        <v>804.87</v>
      </c>
      <c r="D34" s="41"/>
      <c r="E34" s="36"/>
      <c r="F34" s="36"/>
      <c r="G34" s="36"/>
      <c r="H34" s="36"/>
    </row>
    <row r="35" spans="1:8" ht="13.5">
      <c r="A35" s="39" t="s">
        <v>93</v>
      </c>
      <c r="B35" s="7" t="s">
        <v>97</v>
      </c>
      <c r="C35" s="7"/>
      <c r="D35" s="41"/>
      <c r="E35" s="36"/>
      <c r="F35" s="36"/>
      <c r="G35" s="36"/>
      <c r="H35" s="36"/>
    </row>
    <row r="36" spans="1:8" ht="13.5">
      <c r="A36" s="39" t="s">
        <v>94</v>
      </c>
      <c r="B36" s="7" t="s">
        <v>100</v>
      </c>
      <c r="C36" s="7">
        <f>1810.1+955.7</f>
        <v>2765.8</v>
      </c>
      <c r="D36" s="41"/>
      <c r="E36" s="36"/>
      <c r="F36" s="36"/>
      <c r="G36" s="36"/>
      <c r="H36" s="36"/>
    </row>
    <row r="37" spans="1:8" ht="13.5">
      <c r="A37" s="39" t="s">
        <v>95</v>
      </c>
      <c r="B37" s="7" t="s">
        <v>101</v>
      </c>
      <c r="C37" s="7">
        <v>2674.62</v>
      </c>
      <c r="D37" s="41"/>
      <c r="E37" s="36"/>
      <c r="F37" s="36"/>
      <c r="G37" s="36"/>
      <c r="H37" s="36"/>
    </row>
    <row r="38" spans="1:8" ht="13.5">
      <c r="A38" s="39" t="s">
        <v>96</v>
      </c>
      <c r="B38" s="7" t="s">
        <v>104</v>
      </c>
      <c r="C38" s="7"/>
      <c r="D38" s="41"/>
      <c r="E38" s="36"/>
      <c r="F38" s="36"/>
      <c r="G38" s="36"/>
      <c r="H38" s="36"/>
    </row>
    <row r="39" spans="1:8" ht="13.5">
      <c r="A39" s="39" t="s">
        <v>102</v>
      </c>
      <c r="B39" s="7" t="s">
        <v>107</v>
      </c>
      <c r="C39" s="7"/>
      <c r="D39" s="41"/>
      <c r="E39" s="36"/>
      <c r="F39" s="36"/>
      <c r="G39" s="36"/>
      <c r="H39" s="36"/>
    </row>
    <row r="40" spans="1:8" ht="13.5">
      <c r="A40" s="39" t="s">
        <v>105</v>
      </c>
      <c r="B40" s="7" t="s">
        <v>108</v>
      </c>
      <c r="C40" s="7"/>
      <c r="D40" s="41"/>
      <c r="E40" s="36"/>
      <c r="F40" s="36"/>
      <c r="G40" s="36"/>
      <c r="H40" s="36"/>
    </row>
    <row r="41" spans="1:8" ht="15">
      <c r="A41" s="39" t="s">
        <v>109</v>
      </c>
      <c r="B41" s="104" t="s">
        <v>127</v>
      </c>
      <c r="C41" s="7"/>
      <c r="D41" s="41"/>
      <c r="E41" s="36"/>
      <c r="F41" s="36"/>
      <c r="G41" s="36"/>
      <c r="H41" s="36"/>
    </row>
    <row r="42" spans="1:8" ht="13.5">
      <c r="A42" s="52"/>
      <c r="B42" s="7" t="s">
        <v>45</v>
      </c>
      <c r="C42" s="7">
        <f>SUM(C4:C41)</f>
        <v>111354.69</v>
      </c>
      <c r="D42" s="41"/>
      <c r="E42" s="36"/>
      <c r="F42" s="36"/>
      <c r="G42" s="36"/>
      <c r="H42" s="36"/>
    </row>
    <row r="43" spans="1:8" ht="13.5">
      <c r="A43" s="36"/>
      <c r="B43" s="36"/>
      <c r="C43" s="36"/>
      <c r="D43" s="41"/>
      <c r="E43" s="36"/>
      <c r="F43" s="36"/>
      <c r="G43" s="36"/>
      <c r="H43" s="36"/>
    </row>
    <row r="44" spans="1:8" ht="13.5">
      <c r="A44" s="36"/>
      <c r="B44" s="36"/>
      <c r="C44" s="36"/>
      <c r="D44" s="36"/>
      <c r="E44" s="36"/>
      <c r="F44" s="36"/>
      <c r="G44" s="36"/>
      <c r="H44" s="36"/>
    </row>
    <row r="45" spans="1:8" ht="13.5">
      <c r="A45" s="36"/>
      <c r="B45" s="36"/>
      <c r="C45" s="36"/>
      <c r="D45" s="36"/>
      <c r="E45" s="36"/>
      <c r="F45" s="36"/>
      <c r="G45" s="36"/>
      <c r="H45" s="36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9">
      <selection activeCell="E31" sqref="E31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6" t="s">
        <v>118</v>
      </c>
      <c r="B3" s="116"/>
      <c r="C3" s="116"/>
      <c r="D3" s="116"/>
      <c r="E3" s="116"/>
      <c r="F3" s="116"/>
      <c r="G3" s="116"/>
    </row>
    <row r="4" spans="1:7" ht="13.5">
      <c r="A4" s="117"/>
      <c r="B4" s="117"/>
      <c r="C4" s="43" t="s">
        <v>53</v>
      </c>
      <c r="D4" s="1"/>
      <c r="E4" s="36"/>
      <c r="F4" s="36"/>
      <c r="G4" s="36"/>
    </row>
    <row r="5" spans="1:7" ht="13.5">
      <c r="A5" s="49" t="s">
        <v>0</v>
      </c>
      <c r="B5" s="49" t="s">
        <v>1</v>
      </c>
      <c r="C5" s="50" t="s">
        <v>54</v>
      </c>
      <c r="D5" s="50" t="s">
        <v>55</v>
      </c>
      <c r="E5" s="51" t="s">
        <v>58</v>
      </c>
      <c r="F5" s="36"/>
      <c r="G5" s="36"/>
    </row>
    <row r="6" spans="1:7" ht="13.5">
      <c r="A6" s="39" t="s">
        <v>89</v>
      </c>
      <c r="B6" s="7" t="s">
        <v>14</v>
      </c>
      <c r="C6" s="6">
        <v>10659.61</v>
      </c>
      <c r="D6" s="6">
        <v>32208.97</v>
      </c>
      <c r="E6" s="8">
        <f>C6+D6</f>
        <v>42868.58</v>
      </c>
      <c r="F6" s="36"/>
      <c r="G6" s="36"/>
    </row>
    <row r="7" spans="1:7" ht="13.5">
      <c r="A7" s="39" t="s">
        <v>62</v>
      </c>
      <c r="B7" s="7" t="s">
        <v>49</v>
      </c>
      <c r="C7" s="6">
        <f>4383.31+579.81</f>
        <v>4963.120000000001</v>
      </c>
      <c r="D7" s="6">
        <f>11382.53+1376.18</f>
        <v>12758.710000000001</v>
      </c>
      <c r="E7" s="8">
        <f aca="true" t="shared" si="0" ref="E7:E44">C7+D7</f>
        <v>17721.83</v>
      </c>
      <c r="F7" s="36"/>
      <c r="G7" s="36"/>
    </row>
    <row r="8" spans="1:7" ht="13.5">
      <c r="A8" s="39" t="s">
        <v>63</v>
      </c>
      <c r="B8" s="7" t="s">
        <v>16</v>
      </c>
      <c r="C8" s="6"/>
      <c r="D8" s="6"/>
      <c r="E8" s="8">
        <f t="shared" si="0"/>
        <v>0</v>
      </c>
      <c r="F8" s="36"/>
      <c r="G8" s="36"/>
    </row>
    <row r="9" spans="1:7" ht="13.5">
      <c r="A9" s="39" t="s">
        <v>64</v>
      </c>
      <c r="B9" s="7" t="s">
        <v>17</v>
      </c>
      <c r="C9" s="6">
        <v>1883.08</v>
      </c>
      <c r="D9" s="6">
        <v>4980.05</v>
      </c>
      <c r="E9" s="8">
        <f t="shared" si="0"/>
        <v>6863.13</v>
      </c>
      <c r="F9" s="36"/>
      <c r="G9" s="36"/>
    </row>
    <row r="10" spans="1:7" ht="13.5">
      <c r="A10" s="39" t="s">
        <v>65</v>
      </c>
      <c r="B10" s="7" t="s">
        <v>18</v>
      </c>
      <c r="C10" s="6">
        <v>175.07</v>
      </c>
      <c r="D10" s="6">
        <v>535.87</v>
      </c>
      <c r="E10" s="8">
        <f t="shared" si="0"/>
        <v>710.94</v>
      </c>
      <c r="F10" s="36"/>
      <c r="G10" s="36"/>
    </row>
    <row r="11" spans="1:7" ht="13.5">
      <c r="A11" s="39" t="s">
        <v>66</v>
      </c>
      <c r="B11" s="7" t="s">
        <v>19</v>
      </c>
      <c r="C11" s="6">
        <v>599.37</v>
      </c>
      <c r="D11" s="6">
        <v>1317.09</v>
      </c>
      <c r="E11" s="8">
        <f t="shared" si="0"/>
        <v>1916.46</v>
      </c>
      <c r="F11" s="36"/>
      <c r="G11" s="36"/>
    </row>
    <row r="12" spans="1:7" ht="13.5">
      <c r="A12" s="39" t="s">
        <v>67</v>
      </c>
      <c r="B12" s="7" t="s">
        <v>20</v>
      </c>
      <c r="C12" s="6">
        <v>1351.55</v>
      </c>
      <c r="D12" s="6">
        <v>6816.99</v>
      </c>
      <c r="E12" s="8">
        <f t="shared" si="0"/>
        <v>8168.54</v>
      </c>
      <c r="F12" s="36"/>
      <c r="G12" s="36"/>
    </row>
    <row r="13" spans="1:7" ht="13.5">
      <c r="A13" s="39" t="s">
        <v>68</v>
      </c>
      <c r="B13" s="7" t="s">
        <v>21</v>
      </c>
      <c r="C13" s="6">
        <f>1405.23+1188.63+2238.34</f>
        <v>4832.200000000001</v>
      </c>
      <c r="D13" s="6">
        <f>4642.14+4643.53+6863.39</f>
        <v>16149.060000000001</v>
      </c>
      <c r="E13" s="8">
        <f t="shared" si="0"/>
        <v>20981.260000000002</v>
      </c>
      <c r="F13" s="36"/>
      <c r="G13" s="36"/>
    </row>
    <row r="14" spans="1:7" ht="13.5">
      <c r="A14" s="39" t="s">
        <v>69</v>
      </c>
      <c r="B14" s="7" t="s">
        <v>22</v>
      </c>
      <c r="C14" s="6">
        <f>734.48+2483.21+1792.24</f>
        <v>5009.93</v>
      </c>
      <c r="D14" s="6">
        <f>1299.75+1920.92+3285.64</f>
        <v>6506.3099999999995</v>
      </c>
      <c r="E14" s="8">
        <f t="shared" si="0"/>
        <v>11516.24</v>
      </c>
      <c r="F14" s="36"/>
      <c r="G14" s="36"/>
    </row>
    <row r="15" spans="1:7" ht="13.5">
      <c r="A15" s="39" t="s">
        <v>70</v>
      </c>
      <c r="B15" s="7" t="s">
        <v>23</v>
      </c>
      <c r="C15" s="6">
        <v>12530.29</v>
      </c>
      <c r="D15" s="6">
        <v>39384.52</v>
      </c>
      <c r="E15" s="8">
        <f t="shared" si="0"/>
        <v>51914.81</v>
      </c>
      <c r="F15" s="36"/>
      <c r="G15" s="36"/>
    </row>
    <row r="16" spans="1:7" ht="13.5">
      <c r="A16" s="39" t="s">
        <v>71</v>
      </c>
      <c r="B16" s="7" t="s">
        <v>24</v>
      </c>
      <c r="C16" s="6">
        <f>5454.01+444.58</f>
        <v>5898.59</v>
      </c>
      <c r="D16" s="6">
        <f>16400.98+2033.42</f>
        <v>18434.4</v>
      </c>
      <c r="E16" s="8">
        <f t="shared" si="0"/>
        <v>24332.99</v>
      </c>
      <c r="F16" s="36"/>
      <c r="G16" s="36"/>
    </row>
    <row r="17" spans="1:7" ht="13.5">
      <c r="A17" s="39" t="s">
        <v>72</v>
      </c>
      <c r="B17" s="7" t="s">
        <v>50</v>
      </c>
      <c r="C17" s="6">
        <f>1573.01+494.5+2040.61</f>
        <v>4108.12</v>
      </c>
      <c r="D17" s="6">
        <f>3795.22+1571.23+5522.34</f>
        <v>10888.79</v>
      </c>
      <c r="E17" s="8">
        <f t="shared" si="0"/>
        <v>14996.91</v>
      </c>
      <c r="F17" s="36"/>
      <c r="G17" s="36"/>
    </row>
    <row r="18" spans="1:7" ht="13.5">
      <c r="A18" s="39" t="s">
        <v>73</v>
      </c>
      <c r="B18" s="7" t="s">
        <v>26</v>
      </c>
      <c r="C18" s="6">
        <v>2963.66</v>
      </c>
      <c r="D18" s="6">
        <v>9191.15</v>
      </c>
      <c r="E18" s="8">
        <f t="shared" si="0"/>
        <v>12154.81</v>
      </c>
      <c r="F18" s="36"/>
      <c r="G18" s="36"/>
    </row>
    <row r="19" spans="1:7" ht="13.5">
      <c r="A19" s="39" t="s">
        <v>74</v>
      </c>
      <c r="B19" s="7" t="s">
        <v>27</v>
      </c>
      <c r="C19" s="6">
        <v>1128.23</v>
      </c>
      <c r="D19" s="6">
        <v>5793.7</v>
      </c>
      <c r="E19" s="8">
        <f t="shared" si="0"/>
        <v>6921.93</v>
      </c>
      <c r="F19" s="36"/>
      <c r="G19" s="36"/>
    </row>
    <row r="20" spans="1:7" ht="13.5">
      <c r="A20" s="39" t="s">
        <v>75</v>
      </c>
      <c r="B20" s="7" t="s">
        <v>28</v>
      </c>
      <c r="C20" s="6">
        <v>1894.63</v>
      </c>
      <c r="D20" s="6">
        <v>9730.67</v>
      </c>
      <c r="E20" s="8">
        <f t="shared" si="0"/>
        <v>11625.3</v>
      </c>
      <c r="F20" s="36"/>
      <c r="G20" s="36"/>
    </row>
    <row r="21" spans="1:7" ht="13.5">
      <c r="A21" s="39" t="s">
        <v>76</v>
      </c>
      <c r="B21" s="7" t="s">
        <v>29</v>
      </c>
      <c r="C21" s="6"/>
      <c r="D21" s="6"/>
      <c r="E21" s="8">
        <f t="shared" si="0"/>
        <v>0</v>
      </c>
      <c r="F21" s="36"/>
      <c r="G21" s="36"/>
    </row>
    <row r="22" spans="1:7" ht="13.5">
      <c r="A22" s="39" t="s">
        <v>77</v>
      </c>
      <c r="B22" s="7" t="s">
        <v>30</v>
      </c>
      <c r="C22" s="6"/>
      <c r="D22" s="6"/>
      <c r="E22" s="8">
        <f t="shared" si="0"/>
        <v>0</v>
      </c>
      <c r="F22" s="36"/>
      <c r="G22" s="36"/>
    </row>
    <row r="23" spans="1:7" ht="13.5">
      <c r="A23" s="39" t="s">
        <v>78</v>
      </c>
      <c r="B23" s="7" t="s">
        <v>31</v>
      </c>
      <c r="C23" s="6"/>
      <c r="D23" s="6"/>
      <c r="E23" s="8">
        <f t="shared" si="0"/>
        <v>0</v>
      </c>
      <c r="F23" s="36"/>
      <c r="G23" s="36"/>
    </row>
    <row r="24" spans="1:7" ht="13.5">
      <c r="A24" s="39" t="s">
        <v>79</v>
      </c>
      <c r="B24" s="7" t="s">
        <v>32</v>
      </c>
      <c r="C24" s="6"/>
      <c r="D24" s="6"/>
      <c r="E24" s="8">
        <f t="shared" si="0"/>
        <v>0</v>
      </c>
      <c r="F24" s="36"/>
      <c r="G24" s="36"/>
    </row>
    <row r="25" spans="1:7" ht="13.5">
      <c r="A25" s="39" t="s">
        <v>80</v>
      </c>
      <c r="B25" s="7" t="s">
        <v>33</v>
      </c>
      <c r="C25" s="6">
        <v>4522.59</v>
      </c>
      <c r="D25" s="6">
        <v>15374.63</v>
      </c>
      <c r="E25" s="8">
        <f t="shared" si="0"/>
        <v>19897.22</v>
      </c>
      <c r="F25" s="36"/>
      <c r="G25" s="36"/>
    </row>
    <row r="26" spans="1:7" ht="13.5">
      <c r="A26" s="39" t="s">
        <v>81</v>
      </c>
      <c r="B26" s="7" t="s">
        <v>34</v>
      </c>
      <c r="C26" s="6">
        <f>208.32+3262.94+871.35+279.96</f>
        <v>4622.570000000001</v>
      </c>
      <c r="D26" s="6">
        <f>2342.83+6733.17+1568.43+661.21</f>
        <v>11305.64</v>
      </c>
      <c r="E26" s="8">
        <f t="shared" si="0"/>
        <v>15928.21</v>
      </c>
      <c r="F26" s="36"/>
      <c r="G26" s="36"/>
    </row>
    <row r="27" spans="1:7" ht="13.5">
      <c r="A27" s="39" t="s">
        <v>82</v>
      </c>
      <c r="B27" s="7" t="s">
        <v>35</v>
      </c>
      <c r="C27" s="6"/>
      <c r="D27" s="6"/>
      <c r="E27" s="8">
        <f t="shared" si="0"/>
        <v>0</v>
      </c>
      <c r="F27" s="36"/>
      <c r="G27" s="36"/>
    </row>
    <row r="28" spans="1:7" ht="13.5">
      <c r="A28" s="39" t="s">
        <v>83</v>
      </c>
      <c r="B28" s="7" t="s">
        <v>36</v>
      </c>
      <c r="C28" s="6"/>
      <c r="D28" s="6"/>
      <c r="E28" s="8">
        <f t="shared" si="0"/>
        <v>0</v>
      </c>
      <c r="F28" s="36"/>
      <c r="G28" s="36"/>
    </row>
    <row r="29" spans="1:7" ht="13.5">
      <c r="A29" s="39" t="s">
        <v>84</v>
      </c>
      <c r="B29" s="7" t="s">
        <v>37</v>
      </c>
      <c r="C29" s="6">
        <f>2631.94+3192.92+469.82</f>
        <v>6294.68</v>
      </c>
      <c r="D29" s="6">
        <f>7805.62+5287.79+1176.34</f>
        <v>14269.75</v>
      </c>
      <c r="E29" s="8">
        <f t="shared" si="0"/>
        <v>20564.43</v>
      </c>
      <c r="F29" s="36"/>
      <c r="G29" s="36"/>
    </row>
    <row r="30" spans="1:7" ht="13.5">
      <c r="A30" s="39" t="s">
        <v>85</v>
      </c>
      <c r="B30" s="7" t="s">
        <v>38</v>
      </c>
      <c r="C30" s="6"/>
      <c r="D30" s="6"/>
      <c r="E30" s="8">
        <f t="shared" si="0"/>
        <v>0</v>
      </c>
      <c r="F30" s="36"/>
      <c r="G30" s="36"/>
    </row>
    <row r="31" spans="1:7" ht="13.5">
      <c r="A31" s="39" t="s">
        <v>86</v>
      </c>
      <c r="B31" s="7" t="s">
        <v>39</v>
      </c>
      <c r="C31" s="6">
        <v>7578.76</v>
      </c>
      <c r="D31" s="6">
        <v>25849.54</v>
      </c>
      <c r="E31" s="8">
        <f t="shared" si="0"/>
        <v>33428.3</v>
      </c>
      <c r="F31" s="36"/>
      <c r="G31" s="36"/>
    </row>
    <row r="32" spans="1:7" ht="13.5">
      <c r="A32" s="39" t="s">
        <v>87</v>
      </c>
      <c r="B32" s="7" t="s">
        <v>40</v>
      </c>
      <c r="C32" s="6">
        <f>1893.51+329.89</f>
        <v>2223.4</v>
      </c>
      <c r="D32" s="6">
        <f>3565.25+420.62</f>
        <v>3985.87</v>
      </c>
      <c r="E32" s="8">
        <f t="shared" si="0"/>
        <v>6209.27</v>
      </c>
      <c r="F32" s="36"/>
      <c r="G32" s="36"/>
    </row>
    <row r="33" spans="1:7" ht="13.5">
      <c r="A33" s="39" t="s">
        <v>88</v>
      </c>
      <c r="B33" s="7" t="s">
        <v>41</v>
      </c>
      <c r="C33" s="6"/>
      <c r="D33" s="6"/>
      <c r="E33" s="8">
        <f t="shared" si="0"/>
        <v>0</v>
      </c>
      <c r="F33" s="36"/>
      <c r="G33" s="36"/>
    </row>
    <row r="34" spans="1:7" ht="13.5">
      <c r="A34" s="39" t="s">
        <v>90</v>
      </c>
      <c r="B34" s="7" t="s">
        <v>42</v>
      </c>
      <c r="C34" s="6">
        <f>1764.07+1077.38</f>
        <v>2841.45</v>
      </c>
      <c r="D34" s="6">
        <f>5298.55+2889.84</f>
        <v>8188.39</v>
      </c>
      <c r="E34" s="8">
        <f t="shared" si="0"/>
        <v>11029.84</v>
      </c>
      <c r="F34" s="36"/>
      <c r="G34" s="36"/>
    </row>
    <row r="35" spans="1:7" ht="13.5">
      <c r="A35" s="39" t="s">
        <v>91</v>
      </c>
      <c r="B35" s="7" t="s">
        <v>43</v>
      </c>
      <c r="C35" s="6"/>
      <c r="D35" s="6"/>
      <c r="E35" s="8">
        <f t="shared" si="0"/>
        <v>0</v>
      </c>
      <c r="F35" s="36"/>
      <c r="G35" s="36"/>
    </row>
    <row r="36" spans="1:7" ht="13.5">
      <c r="A36" s="39" t="s">
        <v>92</v>
      </c>
      <c r="B36" s="7" t="s">
        <v>44</v>
      </c>
      <c r="C36" s="6">
        <f>262.6</f>
        <v>262.6</v>
      </c>
      <c r="D36" s="6">
        <f>905.61</f>
        <v>905.61</v>
      </c>
      <c r="E36" s="8">
        <f t="shared" si="0"/>
        <v>1168.21</v>
      </c>
      <c r="F36" s="36"/>
      <c r="G36" s="36"/>
    </row>
    <row r="37" spans="1:7" ht="13.5">
      <c r="A37" s="39" t="s">
        <v>93</v>
      </c>
      <c r="B37" s="7" t="s">
        <v>97</v>
      </c>
      <c r="C37" s="6">
        <v>329.86</v>
      </c>
      <c r="D37" s="6">
        <v>514.1</v>
      </c>
      <c r="E37" s="8">
        <f t="shared" si="0"/>
        <v>843.96</v>
      </c>
      <c r="F37" s="36"/>
      <c r="G37" s="36"/>
    </row>
    <row r="38" spans="1:7" ht="13.5">
      <c r="A38" s="39" t="s">
        <v>94</v>
      </c>
      <c r="B38" s="7" t="s">
        <v>100</v>
      </c>
      <c r="C38" s="6">
        <f>992.5+487.57+838.09</f>
        <v>2318.16</v>
      </c>
      <c r="D38" s="6">
        <f>3716.88+1415.34+760.4</f>
        <v>5892.62</v>
      </c>
      <c r="E38" s="8">
        <f t="shared" si="0"/>
        <v>8210.779999999999</v>
      </c>
      <c r="F38" s="36"/>
      <c r="G38" s="36"/>
    </row>
    <row r="39" spans="1:7" ht="13.5">
      <c r="A39" s="39" t="s">
        <v>95</v>
      </c>
      <c r="B39" s="7" t="s">
        <v>101</v>
      </c>
      <c r="C39" s="6">
        <v>13329.4</v>
      </c>
      <c r="D39" s="6">
        <v>32134.02</v>
      </c>
      <c r="E39" s="8">
        <f t="shared" si="0"/>
        <v>45463.42</v>
      </c>
      <c r="F39" s="36"/>
      <c r="G39" s="36"/>
    </row>
    <row r="40" spans="1:7" ht="13.5">
      <c r="A40" s="39" t="s">
        <v>96</v>
      </c>
      <c r="B40" s="7" t="s">
        <v>104</v>
      </c>
      <c r="C40" s="6"/>
      <c r="D40" s="6"/>
      <c r="E40" s="8">
        <f t="shared" si="0"/>
        <v>0</v>
      </c>
      <c r="F40" s="36"/>
      <c r="G40" s="36"/>
    </row>
    <row r="41" spans="1:7" ht="13.5">
      <c r="A41" s="39" t="s">
        <v>102</v>
      </c>
      <c r="B41" s="7" t="s">
        <v>107</v>
      </c>
      <c r="C41" s="6"/>
      <c r="D41" s="6"/>
      <c r="E41" s="8">
        <f t="shared" si="0"/>
        <v>0</v>
      </c>
      <c r="F41" s="36"/>
      <c r="G41" s="36"/>
    </row>
    <row r="42" spans="1:7" ht="13.5">
      <c r="A42" s="39" t="s">
        <v>105</v>
      </c>
      <c r="B42" s="7" t="s">
        <v>108</v>
      </c>
      <c r="C42" s="6"/>
      <c r="D42" s="6"/>
      <c r="E42" s="8">
        <f t="shared" si="0"/>
        <v>0</v>
      </c>
      <c r="F42" s="36"/>
      <c r="G42" s="36"/>
    </row>
    <row r="43" spans="1:7" ht="15">
      <c r="A43" s="39" t="s">
        <v>109</v>
      </c>
      <c r="B43" s="104" t="s">
        <v>127</v>
      </c>
      <c r="C43" s="6"/>
      <c r="D43" s="6"/>
      <c r="E43" s="8">
        <f t="shared" si="0"/>
        <v>0</v>
      </c>
      <c r="F43" s="36"/>
      <c r="G43" s="36"/>
    </row>
    <row r="44" spans="1:7" ht="13.5">
      <c r="A44" s="52"/>
      <c r="B44" s="7" t="s">
        <v>45</v>
      </c>
      <c r="C44" s="7">
        <f>SUM(C6:C43)</f>
        <v>102320.92</v>
      </c>
      <c r="D44" s="7">
        <f>SUM(D6:D43)</f>
        <v>293116.45000000007</v>
      </c>
      <c r="E44" s="8">
        <f t="shared" si="0"/>
        <v>395437.37000000005</v>
      </c>
      <c r="F44" s="36"/>
      <c r="G44" s="36"/>
    </row>
    <row r="45" spans="1:7" ht="13.5">
      <c r="A45" s="36"/>
      <c r="B45" s="36"/>
      <c r="C45" s="36"/>
      <c r="D45" s="36"/>
      <c r="E45" s="1"/>
      <c r="F45" s="36"/>
      <c r="G45" s="36"/>
    </row>
    <row r="46" spans="1:7" ht="13.5">
      <c r="A46" s="36"/>
      <c r="B46" s="36"/>
      <c r="C46" s="36"/>
      <c r="D46" s="36"/>
      <c r="E46" s="36"/>
      <c r="F46" s="36"/>
      <c r="G46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22">
      <selection activeCell="E32" sqref="E32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3.5">
      <c r="A3" s="115" t="s">
        <v>119</v>
      </c>
      <c r="B3" s="115"/>
      <c r="C3" s="115"/>
      <c r="D3" s="115"/>
      <c r="E3" s="115"/>
      <c r="F3" s="115"/>
    </row>
    <row r="4" spans="1:6" ht="13.5">
      <c r="A4" s="118"/>
      <c r="B4" s="118"/>
      <c r="C4" s="118"/>
      <c r="D4" s="118"/>
      <c r="E4" s="118"/>
      <c r="F4" s="36"/>
    </row>
    <row r="5" spans="1:6" ht="13.5">
      <c r="A5" s="117"/>
      <c r="B5" s="117"/>
      <c r="C5" s="36"/>
      <c r="D5" s="36"/>
      <c r="E5" s="36"/>
      <c r="F5" s="36"/>
    </row>
    <row r="6" spans="1:6" ht="13.5">
      <c r="A6" s="49" t="s">
        <v>0</v>
      </c>
      <c r="B6" s="49" t="s">
        <v>1</v>
      </c>
      <c r="C6" s="50" t="s">
        <v>56</v>
      </c>
      <c r="D6" s="50" t="s">
        <v>57</v>
      </c>
      <c r="E6" s="36"/>
      <c r="F6" s="36"/>
    </row>
    <row r="7" spans="1:6" ht="13.5">
      <c r="A7" s="39" t="s">
        <v>89</v>
      </c>
      <c r="B7" s="7" t="s">
        <v>14</v>
      </c>
      <c r="C7" s="53">
        <v>8700</v>
      </c>
      <c r="D7" s="7">
        <v>2040</v>
      </c>
      <c r="E7" s="36"/>
      <c r="F7" s="36"/>
    </row>
    <row r="8" spans="1:6" ht="13.5">
      <c r="A8" s="39" t="s">
        <v>62</v>
      </c>
      <c r="B8" s="7" t="s">
        <v>49</v>
      </c>
      <c r="C8" s="53">
        <f>2400+480</f>
        <v>2880</v>
      </c>
      <c r="D8" s="7"/>
      <c r="E8" s="36"/>
      <c r="F8" s="36"/>
    </row>
    <row r="9" spans="1:6" ht="13.5">
      <c r="A9" s="39" t="s">
        <v>63</v>
      </c>
      <c r="B9" s="7" t="s">
        <v>16</v>
      </c>
      <c r="C9" s="53"/>
      <c r="D9" s="7"/>
      <c r="E9" s="36"/>
      <c r="F9" s="36"/>
    </row>
    <row r="10" spans="1:6" ht="13.5">
      <c r="A10" s="39" t="s">
        <v>64</v>
      </c>
      <c r="B10" s="7" t="s">
        <v>17</v>
      </c>
      <c r="C10" s="53">
        <v>960</v>
      </c>
      <c r="D10" s="7"/>
      <c r="E10" s="36"/>
      <c r="F10" s="36"/>
    </row>
    <row r="11" spans="1:6" ht="13.5">
      <c r="A11" s="39" t="s">
        <v>65</v>
      </c>
      <c r="B11" s="7" t="s">
        <v>18</v>
      </c>
      <c r="C11" s="53">
        <v>240</v>
      </c>
      <c r="D11" s="7">
        <v>420</v>
      </c>
      <c r="E11" s="36"/>
      <c r="F11" s="36"/>
    </row>
    <row r="12" spans="1:6" ht="13.5">
      <c r="A12" s="39" t="s">
        <v>66</v>
      </c>
      <c r="B12" s="7" t="s">
        <v>19</v>
      </c>
      <c r="C12" s="53">
        <v>360</v>
      </c>
      <c r="D12" s="7"/>
      <c r="E12" s="36"/>
      <c r="F12" s="36"/>
    </row>
    <row r="13" spans="1:6" ht="13.5">
      <c r="A13" s="39" t="s">
        <v>67</v>
      </c>
      <c r="B13" s="7" t="s">
        <v>20</v>
      </c>
      <c r="C13" s="53">
        <v>1440</v>
      </c>
      <c r="D13" s="7">
        <v>420</v>
      </c>
      <c r="E13" s="36"/>
      <c r="F13" s="36"/>
    </row>
    <row r="14" spans="1:6" ht="13.5">
      <c r="A14" s="39" t="s">
        <v>68</v>
      </c>
      <c r="B14" s="7" t="s">
        <v>21</v>
      </c>
      <c r="C14" s="53">
        <f>1200+1320+1800</f>
        <v>4320</v>
      </c>
      <c r="D14" s="7"/>
      <c r="E14" s="36"/>
      <c r="F14" s="36"/>
    </row>
    <row r="15" spans="1:6" ht="13.5">
      <c r="A15" s="39" t="s">
        <v>69</v>
      </c>
      <c r="B15" s="7" t="s">
        <v>22</v>
      </c>
      <c r="C15" s="53">
        <f>240+840+600</f>
        <v>1680</v>
      </c>
      <c r="D15" s="7"/>
      <c r="E15" s="36"/>
      <c r="F15" s="36"/>
    </row>
    <row r="16" spans="1:6" ht="13.5">
      <c r="A16" s="39" t="s">
        <v>70</v>
      </c>
      <c r="B16" s="7" t="s">
        <v>23</v>
      </c>
      <c r="C16" s="53">
        <v>8760</v>
      </c>
      <c r="D16" s="7">
        <v>1260</v>
      </c>
      <c r="E16" s="36"/>
      <c r="F16" s="36"/>
    </row>
    <row r="17" spans="1:6" ht="13.5">
      <c r="A17" s="39" t="s">
        <v>71</v>
      </c>
      <c r="B17" s="7" t="s">
        <v>24</v>
      </c>
      <c r="C17" s="53">
        <f>3720+360</f>
        <v>4080</v>
      </c>
      <c r="D17" s="7">
        <f>780</f>
        <v>780</v>
      </c>
      <c r="E17" s="36"/>
      <c r="F17" s="36"/>
    </row>
    <row r="18" spans="1:6" ht="13.5">
      <c r="A18" s="39" t="s">
        <v>72</v>
      </c>
      <c r="B18" s="7" t="s">
        <v>50</v>
      </c>
      <c r="C18" s="53">
        <f>960+600+1800</f>
        <v>3360</v>
      </c>
      <c r="D18" s="7"/>
      <c r="E18" s="36"/>
      <c r="F18" s="36"/>
    </row>
    <row r="19" spans="1:6" ht="13.5">
      <c r="A19" s="39" t="s">
        <v>73</v>
      </c>
      <c r="B19" s="7" t="s">
        <v>26</v>
      </c>
      <c r="C19" s="53">
        <v>2040</v>
      </c>
      <c r="D19" s="7"/>
      <c r="E19" s="36"/>
      <c r="F19" s="36"/>
    </row>
    <row r="20" spans="1:6" ht="13.5">
      <c r="A20" s="39" t="s">
        <v>74</v>
      </c>
      <c r="B20" s="7" t="s">
        <v>27</v>
      </c>
      <c r="C20" s="53">
        <v>2400</v>
      </c>
      <c r="D20" s="7"/>
      <c r="E20" s="36"/>
      <c r="F20" s="36"/>
    </row>
    <row r="21" spans="1:6" ht="13.5">
      <c r="A21" s="39" t="s">
        <v>75</v>
      </c>
      <c r="B21" s="7" t="s">
        <v>28</v>
      </c>
      <c r="C21" s="53">
        <v>3480</v>
      </c>
      <c r="D21" s="7">
        <v>360</v>
      </c>
      <c r="E21" s="36"/>
      <c r="F21" s="36"/>
    </row>
    <row r="22" spans="1:6" ht="13.5">
      <c r="A22" s="39" t="s">
        <v>76</v>
      </c>
      <c r="B22" s="7" t="s">
        <v>29</v>
      </c>
      <c r="C22" s="53"/>
      <c r="D22" s="7"/>
      <c r="E22" s="36"/>
      <c r="F22" s="36"/>
    </row>
    <row r="23" spans="1:6" ht="13.5">
      <c r="A23" s="39" t="s">
        <v>77</v>
      </c>
      <c r="B23" s="7" t="s">
        <v>30</v>
      </c>
      <c r="C23" s="53"/>
      <c r="D23" s="7"/>
      <c r="E23" s="36"/>
      <c r="F23" s="36"/>
    </row>
    <row r="24" spans="1:6" ht="13.5">
      <c r="A24" s="39" t="s">
        <v>78</v>
      </c>
      <c r="B24" s="7" t="s">
        <v>31</v>
      </c>
      <c r="C24" s="53"/>
      <c r="D24" s="7"/>
      <c r="E24" s="36"/>
      <c r="F24" s="36"/>
    </row>
    <row r="25" spans="1:6" ht="13.5">
      <c r="A25" s="39" t="s">
        <v>79</v>
      </c>
      <c r="B25" s="7" t="s">
        <v>32</v>
      </c>
      <c r="C25" s="53"/>
      <c r="D25" s="7"/>
      <c r="E25" s="36"/>
      <c r="F25" s="36"/>
    </row>
    <row r="26" spans="1:6" ht="13.5">
      <c r="A26" s="39" t="s">
        <v>80</v>
      </c>
      <c r="B26" s="7" t="s">
        <v>33</v>
      </c>
      <c r="C26" s="53">
        <v>4080</v>
      </c>
      <c r="D26" s="7"/>
      <c r="E26" s="36"/>
      <c r="F26" s="36"/>
    </row>
    <row r="27" spans="1:6" ht="13.5">
      <c r="A27" s="39" t="s">
        <v>81</v>
      </c>
      <c r="B27" s="7" t="s">
        <v>34</v>
      </c>
      <c r="C27" s="53">
        <f>240+1560+360+120</f>
        <v>2280</v>
      </c>
      <c r="D27" s="7"/>
      <c r="E27" s="36"/>
      <c r="F27" s="36"/>
    </row>
    <row r="28" spans="1:6" ht="13.5">
      <c r="A28" s="39" t="s">
        <v>82</v>
      </c>
      <c r="B28" s="7" t="s">
        <v>35</v>
      </c>
      <c r="C28" s="53">
        <v>120</v>
      </c>
      <c r="D28" s="7"/>
      <c r="E28" s="36"/>
      <c r="F28" s="36"/>
    </row>
    <row r="29" spans="1:6" ht="13.5">
      <c r="A29" s="39" t="s">
        <v>83</v>
      </c>
      <c r="B29" s="7" t="s">
        <v>36</v>
      </c>
      <c r="C29" s="53">
        <v>120</v>
      </c>
      <c r="D29" s="7"/>
      <c r="E29" s="36"/>
      <c r="F29" s="36"/>
    </row>
    <row r="30" spans="1:6" ht="13.5">
      <c r="A30" s="39" t="s">
        <v>84</v>
      </c>
      <c r="B30" s="7" t="s">
        <v>37</v>
      </c>
      <c r="C30" s="53">
        <f>2280+1560+360</f>
        <v>4200</v>
      </c>
      <c r="D30" s="7">
        <v>420</v>
      </c>
      <c r="E30" s="36"/>
      <c r="F30" s="36"/>
    </row>
    <row r="31" spans="1:6" ht="13.5">
      <c r="A31" s="39" t="s">
        <v>85</v>
      </c>
      <c r="B31" s="7" t="s">
        <v>38</v>
      </c>
      <c r="C31" s="53"/>
      <c r="D31" s="7"/>
      <c r="E31" s="36"/>
      <c r="F31" s="36"/>
    </row>
    <row r="32" spans="1:6" ht="13.5">
      <c r="A32" s="39" t="s">
        <v>86</v>
      </c>
      <c r="B32" s="7" t="s">
        <v>39</v>
      </c>
      <c r="C32" s="53">
        <v>5400</v>
      </c>
      <c r="D32" s="7">
        <v>1260</v>
      </c>
      <c r="E32" s="36"/>
      <c r="F32" s="36"/>
    </row>
    <row r="33" spans="1:6" ht="13.5">
      <c r="A33" s="39" t="s">
        <v>87</v>
      </c>
      <c r="B33" s="7" t="s">
        <v>40</v>
      </c>
      <c r="C33" s="53">
        <f>960+240</f>
        <v>1200</v>
      </c>
      <c r="D33" s="7"/>
      <c r="E33" s="36"/>
      <c r="F33" s="36"/>
    </row>
    <row r="34" spans="1:6" ht="13.5">
      <c r="A34" s="39" t="s">
        <v>88</v>
      </c>
      <c r="B34" s="7" t="s">
        <v>41</v>
      </c>
      <c r="C34" s="53"/>
      <c r="D34" s="7"/>
      <c r="E34" s="36"/>
      <c r="F34" s="36"/>
    </row>
    <row r="35" spans="1:6" ht="13.5">
      <c r="A35" s="39" t="s">
        <v>90</v>
      </c>
      <c r="B35" s="7" t="s">
        <v>42</v>
      </c>
      <c r="C35" s="53">
        <f>1680+600</f>
        <v>2280</v>
      </c>
      <c r="D35" s="7"/>
      <c r="E35" s="36"/>
      <c r="F35" s="36"/>
    </row>
    <row r="36" spans="1:6" ht="13.5">
      <c r="A36" s="39" t="s">
        <v>91</v>
      </c>
      <c r="B36" s="7" t="s">
        <v>43</v>
      </c>
      <c r="C36" s="53"/>
      <c r="D36" s="7"/>
      <c r="E36" s="36"/>
      <c r="F36" s="36"/>
    </row>
    <row r="37" spans="1:6" ht="13.5">
      <c r="A37" s="39" t="s">
        <v>92</v>
      </c>
      <c r="B37" s="7" t="s">
        <v>44</v>
      </c>
      <c r="C37" s="53">
        <f>240</f>
        <v>240</v>
      </c>
      <c r="D37" s="7"/>
      <c r="E37" s="36"/>
      <c r="F37" s="36"/>
    </row>
    <row r="38" spans="1:6" ht="13.5">
      <c r="A38" s="39" t="s">
        <v>93</v>
      </c>
      <c r="B38" s="7" t="s">
        <v>97</v>
      </c>
      <c r="C38" s="53">
        <v>120</v>
      </c>
      <c r="D38" s="7"/>
      <c r="E38" s="36"/>
      <c r="F38" s="36"/>
    </row>
    <row r="39" spans="1:6" ht="13.5">
      <c r="A39" s="39" t="s">
        <v>94</v>
      </c>
      <c r="B39" s="7" t="s">
        <v>100</v>
      </c>
      <c r="C39" s="53">
        <f>1080+480+120</f>
        <v>1680</v>
      </c>
      <c r="D39" s="7"/>
      <c r="E39" s="36"/>
      <c r="F39" s="36"/>
    </row>
    <row r="40" spans="1:6" ht="13.5">
      <c r="A40" s="39" t="s">
        <v>95</v>
      </c>
      <c r="B40" s="7" t="s">
        <v>101</v>
      </c>
      <c r="C40" s="53">
        <v>7200</v>
      </c>
      <c r="D40" s="7"/>
      <c r="E40" s="36"/>
      <c r="F40" s="36"/>
    </row>
    <row r="41" spans="1:6" ht="13.5">
      <c r="A41" s="39" t="s">
        <v>96</v>
      </c>
      <c r="B41" s="7" t="s">
        <v>104</v>
      </c>
      <c r="C41" s="44"/>
      <c r="D41" s="6"/>
      <c r="E41" s="36"/>
      <c r="F41" s="36"/>
    </row>
    <row r="42" spans="1:6" ht="13.5">
      <c r="A42" s="39" t="s">
        <v>102</v>
      </c>
      <c r="B42" s="7" t="s">
        <v>107</v>
      </c>
      <c r="C42" s="53"/>
      <c r="D42" s="6"/>
      <c r="E42" s="36"/>
      <c r="F42" s="36"/>
    </row>
    <row r="43" spans="1:6" ht="13.5">
      <c r="A43" s="39" t="s">
        <v>105</v>
      </c>
      <c r="B43" s="7" t="s">
        <v>108</v>
      </c>
      <c r="C43" s="53"/>
      <c r="D43" s="6"/>
      <c r="E43" s="36"/>
      <c r="F43" s="36"/>
    </row>
    <row r="44" spans="1:6" ht="15">
      <c r="A44" s="39" t="s">
        <v>109</v>
      </c>
      <c r="B44" s="104" t="s">
        <v>127</v>
      </c>
      <c r="C44" s="53"/>
      <c r="D44" s="6"/>
      <c r="E44" s="36"/>
      <c r="F44" s="36"/>
    </row>
    <row r="45" spans="1:6" ht="13.5">
      <c r="A45" s="52"/>
      <c r="B45" s="7" t="s">
        <v>45</v>
      </c>
      <c r="C45" s="53">
        <f>SUM(C7:C44)</f>
        <v>73620</v>
      </c>
      <c r="D45" s="53">
        <f>SUM(D7:D44)</f>
        <v>6960</v>
      </c>
      <c r="E45" s="1"/>
      <c r="F45" s="36"/>
    </row>
    <row r="46" spans="1:6" ht="13.5">
      <c r="A46" s="36"/>
      <c r="B46" s="36"/>
      <c r="C46" s="1"/>
      <c r="D46" s="36"/>
      <c r="E46" s="36"/>
      <c r="F46" s="36"/>
    </row>
    <row r="47" spans="1:6" ht="13.5">
      <c r="A47" s="36"/>
      <c r="B47" s="36"/>
      <c r="C47" s="36"/>
      <c r="D47" s="36"/>
      <c r="E47" s="36"/>
      <c r="F47" s="36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21">
      <selection activeCell="D34" sqref="D34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3.5">
      <c r="A3" s="115" t="s">
        <v>120</v>
      </c>
      <c r="B3" s="115"/>
      <c r="C3" s="115"/>
      <c r="D3" s="115"/>
      <c r="E3" s="115"/>
      <c r="F3" s="115"/>
      <c r="G3" s="115"/>
      <c r="H3" s="115"/>
      <c r="I3" s="115"/>
    </row>
    <row r="4" spans="1:9" ht="13.5">
      <c r="A4" s="36"/>
      <c r="B4" s="36"/>
      <c r="C4" s="38"/>
      <c r="D4" s="1"/>
      <c r="E4" s="1"/>
      <c r="F4" s="1"/>
      <c r="G4" s="1"/>
      <c r="H4" s="36"/>
      <c r="I4" s="36"/>
    </row>
    <row r="5" spans="1:9" ht="27">
      <c r="A5" s="49" t="s">
        <v>0</v>
      </c>
      <c r="B5" s="49" t="s">
        <v>1</v>
      </c>
      <c r="C5" s="51" t="s">
        <v>111</v>
      </c>
      <c r="D5" s="45"/>
      <c r="E5" s="12"/>
      <c r="F5" s="1"/>
      <c r="G5" s="1"/>
      <c r="H5" s="36"/>
      <c r="I5" s="36"/>
    </row>
    <row r="6" spans="1:9" ht="13.5">
      <c r="A6" s="39" t="s">
        <v>89</v>
      </c>
      <c r="B6" s="7" t="s">
        <v>14</v>
      </c>
      <c r="C6" s="8"/>
      <c r="D6" s="46"/>
      <c r="E6" s="12"/>
      <c r="F6" s="1"/>
      <c r="G6" s="1"/>
      <c r="H6" s="36"/>
      <c r="I6" s="36"/>
    </row>
    <row r="7" spans="1:9" ht="13.5">
      <c r="A7" s="39" t="s">
        <v>62</v>
      </c>
      <c r="B7" s="7" t="s">
        <v>49</v>
      </c>
      <c r="C7" s="8"/>
      <c r="D7" s="46"/>
      <c r="E7" s="12"/>
      <c r="F7" s="1"/>
      <c r="G7" s="1"/>
      <c r="H7" s="36"/>
      <c r="I7" s="36"/>
    </row>
    <row r="8" spans="1:9" ht="13.5">
      <c r="A8" s="39" t="s">
        <v>63</v>
      </c>
      <c r="B8" s="7" t="s">
        <v>16</v>
      </c>
      <c r="C8" s="8"/>
      <c r="D8" s="46"/>
      <c r="E8" s="12"/>
      <c r="F8" s="1"/>
      <c r="G8" s="1"/>
      <c r="H8" s="36"/>
      <c r="I8" s="36"/>
    </row>
    <row r="9" spans="1:9" ht="13.5">
      <c r="A9" s="39" t="s">
        <v>64</v>
      </c>
      <c r="B9" s="7" t="s">
        <v>17</v>
      </c>
      <c r="C9" s="8"/>
      <c r="D9" s="46"/>
      <c r="E9" s="12"/>
      <c r="F9" s="1"/>
      <c r="G9" s="1"/>
      <c r="H9" s="36"/>
      <c r="I9" s="36"/>
    </row>
    <row r="10" spans="1:9" ht="13.5">
      <c r="A10" s="39" t="s">
        <v>65</v>
      </c>
      <c r="B10" s="7" t="s">
        <v>18</v>
      </c>
      <c r="C10" s="8"/>
      <c r="D10" s="46"/>
      <c r="E10" s="12"/>
      <c r="F10" s="1"/>
      <c r="G10" s="1"/>
      <c r="H10" s="36"/>
      <c r="I10" s="36"/>
    </row>
    <row r="11" spans="1:9" ht="13.5">
      <c r="A11" s="39" t="s">
        <v>66</v>
      </c>
      <c r="B11" s="7" t="s">
        <v>19</v>
      </c>
      <c r="C11" s="8"/>
      <c r="D11" s="46"/>
      <c r="E11" s="12"/>
      <c r="F11" s="1"/>
      <c r="G11" s="1"/>
      <c r="H11" s="36"/>
      <c r="I11" s="36"/>
    </row>
    <row r="12" spans="1:9" ht="13.5">
      <c r="A12" s="39" t="s">
        <v>67</v>
      </c>
      <c r="B12" s="7" t="s">
        <v>20</v>
      </c>
      <c r="C12" s="8"/>
      <c r="D12" s="46"/>
      <c r="E12" s="12"/>
      <c r="F12" s="1"/>
      <c r="G12" s="1"/>
      <c r="H12" s="36"/>
      <c r="I12" s="36"/>
    </row>
    <row r="13" spans="1:9" ht="13.5">
      <c r="A13" s="39" t="s">
        <v>68</v>
      </c>
      <c r="B13" s="7" t="s">
        <v>21</v>
      </c>
      <c r="C13" s="8">
        <v>11234.47</v>
      </c>
      <c r="D13" s="46"/>
      <c r="E13" s="12"/>
      <c r="F13" s="1"/>
      <c r="G13" s="1"/>
      <c r="H13" s="36"/>
      <c r="I13" s="36"/>
    </row>
    <row r="14" spans="1:9" ht="13.5">
      <c r="A14" s="39" t="s">
        <v>69</v>
      </c>
      <c r="B14" s="7" t="s">
        <v>22</v>
      </c>
      <c r="C14" s="8"/>
      <c r="D14" s="46"/>
      <c r="E14" s="12"/>
      <c r="F14" s="1"/>
      <c r="G14" s="1"/>
      <c r="H14" s="36"/>
      <c r="I14" s="36"/>
    </row>
    <row r="15" spans="1:9" ht="13.5">
      <c r="A15" s="39" t="s">
        <v>70</v>
      </c>
      <c r="B15" s="7" t="s">
        <v>23</v>
      </c>
      <c r="C15" s="8">
        <v>30331.98</v>
      </c>
      <c r="D15" s="46"/>
      <c r="E15" s="12"/>
      <c r="F15" s="1"/>
      <c r="G15" s="1"/>
      <c r="H15" s="36"/>
      <c r="I15" s="36"/>
    </row>
    <row r="16" spans="1:9" ht="13.5">
      <c r="A16" s="39" t="s">
        <v>71</v>
      </c>
      <c r="B16" s="7" t="s">
        <v>24</v>
      </c>
      <c r="C16" s="8"/>
      <c r="D16" s="46"/>
      <c r="E16" s="12"/>
      <c r="F16" s="1"/>
      <c r="G16" s="1"/>
      <c r="H16" s="36"/>
      <c r="I16" s="36"/>
    </row>
    <row r="17" spans="1:9" ht="13.5">
      <c r="A17" s="39" t="s">
        <v>72</v>
      </c>
      <c r="B17" s="7" t="s">
        <v>50</v>
      </c>
      <c r="C17" s="8"/>
      <c r="D17" s="46"/>
      <c r="E17" s="12"/>
      <c r="F17" s="1"/>
      <c r="G17" s="1"/>
      <c r="H17" s="36"/>
      <c r="I17" s="36"/>
    </row>
    <row r="18" spans="1:9" ht="13.5">
      <c r="A18" s="39" t="s">
        <v>73</v>
      </c>
      <c r="B18" s="7" t="s">
        <v>26</v>
      </c>
      <c r="C18" s="8"/>
      <c r="D18" s="46"/>
      <c r="E18" s="12"/>
      <c r="F18" s="1"/>
      <c r="G18" s="1"/>
      <c r="H18" s="36"/>
      <c r="I18" s="36"/>
    </row>
    <row r="19" spans="1:9" ht="13.5">
      <c r="A19" s="39" t="s">
        <v>74</v>
      </c>
      <c r="B19" s="7" t="s">
        <v>27</v>
      </c>
      <c r="C19" s="8"/>
      <c r="D19" s="46"/>
      <c r="E19" s="12"/>
      <c r="F19" s="1"/>
      <c r="G19" s="1"/>
      <c r="H19" s="36"/>
      <c r="I19" s="36"/>
    </row>
    <row r="20" spans="1:9" ht="13.5">
      <c r="A20" s="39" t="s">
        <v>75</v>
      </c>
      <c r="B20" s="7" t="s">
        <v>28</v>
      </c>
      <c r="C20" s="8"/>
      <c r="D20" s="46"/>
      <c r="E20" s="12"/>
      <c r="F20" s="1"/>
      <c r="G20" s="1"/>
      <c r="H20" s="36"/>
      <c r="I20" s="36"/>
    </row>
    <row r="21" spans="1:9" ht="13.5">
      <c r="A21" s="39" t="s">
        <v>76</v>
      </c>
      <c r="B21" s="7" t="s">
        <v>29</v>
      </c>
      <c r="C21" s="8"/>
      <c r="D21" s="46"/>
      <c r="E21" s="12"/>
      <c r="F21" s="1"/>
      <c r="G21" s="1"/>
      <c r="H21" s="36"/>
      <c r="I21" s="36"/>
    </row>
    <row r="22" spans="1:9" ht="13.5">
      <c r="A22" s="39" t="s">
        <v>77</v>
      </c>
      <c r="B22" s="7" t="s">
        <v>30</v>
      </c>
      <c r="C22" s="8"/>
      <c r="D22" s="46"/>
      <c r="E22" s="12"/>
      <c r="F22" s="1"/>
      <c r="G22" s="1"/>
      <c r="H22" s="36"/>
      <c r="I22" s="36"/>
    </row>
    <row r="23" spans="1:9" ht="13.5">
      <c r="A23" s="39" t="s">
        <v>78</v>
      </c>
      <c r="B23" s="7" t="s">
        <v>31</v>
      </c>
      <c r="C23" s="8"/>
      <c r="D23" s="46"/>
      <c r="E23" s="12"/>
      <c r="F23" s="1"/>
      <c r="G23" s="1"/>
      <c r="H23" s="36"/>
      <c r="I23" s="36"/>
    </row>
    <row r="24" spans="1:9" ht="13.5">
      <c r="A24" s="39" t="s">
        <v>79</v>
      </c>
      <c r="B24" s="7" t="s">
        <v>32</v>
      </c>
      <c r="C24" s="8"/>
      <c r="D24" s="46"/>
      <c r="E24" s="12"/>
      <c r="F24" s="1"/>
      <c r="G24" s="1"/>
      <c r="H24" s="36"/>
      <c r="I24" s="36"/>
    </row>
    <row r="25" spans="1:9" ht="13.5">
      <c r="A25" s="39" t="s">
        <v>80</v>
      </c>
      <c r="B25" s="7" t="s">
        <v>33</v>
      </c>
      <c r="C25" s="8"/>
      <c r="D25" s="46"/>
      <c r="E25" s="12"/>
      <c r="F25" s="1"/>
      <c r="G25" s="1"/>
      <c r="H25" s="36"/>
      <c r="I25" s="36"/>
    </row>
    <row r="26" spans="1:9" ht="13.5">
      <c r="A26" s="39" t="s">
        <v>81</v>
      </c>
      <c r="B26" s="7" t="s">
        <v>34</v>
      </c>
      <c r="C26" s="8"/>
      <c r="D26" s="46"/>
      <c r="E26" s="12"/>
      <c r="F26" s="1"/>
      <c r="G26" s="1"/>
      <c r="H26" s="36"/>
      <c r="I26" s="36"/>
    </row>
    <row r="27" spans="1:9" ht="13.5">
      <c r="A27" s="39" t="s">
        <v>82</v>
      </c>
      <c r="B27" s="7" t="s">
        <v>35</v>
      </c>
      <c r="C27" s="8"/>
      <c r="D27" s="46"/>
      <c r="E27" s="12"/>
      <c r="F27" s="1"/>
      <c r="G27" s="1"/>
      <c r="H27" s="36"/>
      <c r="I27" s="36"/>
    </row>
    <row r="28" spans="1:9" ht="13.5">
      <c r="A28" s="39" t="s">
        <v>83</v>
      </c>
      <c r="B28" s="7" t="s">
        <v>36</v>
      </c>
      <c r="C28" s="8"/>
      <c r="D28" s="46"/>
      <c r="E28" s="12"/>
      <c r="F28" s="1"/>
      <c r="G28" s="1"/>
      <c r="H28" s="36"/>
      <c r="I28" s="36"/>
    </row>
    <row r="29" spans="1:9" ht="13.5">
      <c r="A29" s="39" t="s">
        <v>84</v>
      </c>
      <c r="B29" s="7" t="s">
        <v>37</v>
      </c>
      <c r="C29" s="8"/>
      <c r="D29" s="46"/>
      <c r="E29" s="12"/>
      <c r="F29" s="1"/>
      <c r="G29" s="1"/>
      <c r="H29" s="36"/>
      <c r="I29" s="36"/>
    </row>
    <row r="30" spans="1:9" ht="13.5">
      <c r="A30" s="39" t="s">
        <v>85</v>
      </c>
      <c r="B30" s="7" t="s">
        <v>38</v>
      </c>
      <c r="C30" s="8"/>
      <c r="D30" s="46"/>
      <c r="E30" s="12"/>
      <c r="F30" s="1"/>
      <c r="G30" s="1"/>
      <c r="H30" s="36"/>
      <c r="I30" s="36"/>
    </row>
    <row r="31" spans="1:9" ht="13.5">
      <c r="A31" s="39" t="s">
        <v>86</v>
      </c>
      <c r="B31" s="7" t="s">
        <v>39</v>
      </c>
      <c r="C31" s="8"/>
      <c r="D31" s="46"/>
      <c r="E31" s="12"/>
      <c r="F31" s="1"/>
      <c r="G31" s="1"/>
      <c r="H31" s="36"/>
      <c r="I31" s="36"/>
    </row>
    <row r="32" spans="1:9" ht="13.5">
      <c r="A32" s="39" t="s">
        <v>87</v>
      </c>
      <c r="B32" s="7" t="s">
        <v>40</v>
      </c>
      <c r="C32" s="8"/>
      <c r="D32" s="46"/>
      <c r="E32" s="12"/>
      <c r="F32" s="1"/>
      <c r="G32" s="1"/>
      <c r="H32" s="36"/>
      <c r="I32" s="36"/>
    </row>
    <row r="33" spans="1:9" ht="13.5">
      <c r="A33" s="39" t="s">
        <v>88</v>
      </c>
      <c r="B33" s="7" t="s">
        <v>41</v>
      </c>
      <c r="C33" s="8"/>
      <c r="D33" s="46"/>
      <c r="E33" s="12"/>
      <c r="F33" s="1"/>
      <c r="G33" s="1"/>
      <c r="H33" s="36"/>
      <c r="I33" s="36"/>
    </row>
    <row r="34" spans="1:9" ht="13.5">
      <c r="A34" s="39" t="s">
        <v>90</v>
      </c>
      <c r="B34" s="7" t="s">
        <v>42</v>
      </c>
      <c r="C34" s="8">
        <v>14853.26</v>
      </c>
      <c r="D34" s="46"/>
      <c r="E34" s="12"/>
      <c r="F34" s="1"/>
      <c r="G34" s="1"/>
      <c r="H34" s="36"/>
      <c r="I34" s="36"/>
    </row>
    <row r="35" spans="1:9" ht="13.5">
      <c r="A35" s="39" t="s">
        <v>91</v>
      </c>
      <c r="B35" s="7" t="s">
        <v>43</v>
      </c>
      <c r="C35" s="8"/>
      <c r="D35" s="46"/>
      <c r="E35" s="12"/>
      <c r="F35" s="1"/>
      <c r="G35" s="1"/>
      <c r="H35" s="36"/>
      <c r="I35" s="36"/>
    </row>
    <row r="36" spans="1:9" ht="13.5">
      <c r="A36" s="39" t="s">
        <v>92</v>
      </c>
      <c r="B36" s="7" t="s">
        <v>44</v>
      </c>
      <c r="C36" s="8"/>
      <c r="D36" s="46"/>
      <c r="E36" s="12"/>
      <c r="F36" s="1"/>
      <c r="G36" s="1"/>
      <c r="H36" s="36"/>
      <c r="I36" s="36"/>
    </row>
    <row r="37" spans="1:9" ht="13.5">
      <c r="A37" s="39" t="s">
        <v>93</v>
      </c>
      <c r="B37" s="7" t="s">
        <v>97</v>
      </c>
      <c r="C37" s="8"/>
      <c r="D37" s="46"/>
      <c r="E37" s="12"/>
      <c r="F37" s="1"/>
      <c r="G37" s="1"/>
      <c r="H37" s="36"/>
      <c r="I37" s="36"/>
    </row>
    <row r="38" spans="1:9" ht="13.5">
      <c r="A38" s="39" t="s">
        <v>94</v>
      </c>
      <c r="B38" s="7" t="s">
        <v>100</v>
      </c>
      <c r="C38" s="8"/>
      <c r="D38" s="46"/>
      <c r="E38" s="12"/>
      <c r="F38" s="1"/>
      <c r="G38" s="1"/>
      <c r="H38" s="36"/>
      <c r="I38" s="36"/>
    </row>
    <row r="39" spans="1:9" ht="13.5">
      <c r="A39" s="39" t="s">
        <v>95</v>
      </c>
      <c r="B39" s="7" t="s">
        <v>101</v>
      </c>
      <c r="C39" s="8"/>
      <c r="D39" s="46"/>
      <c r="E39" s="12"/>
      <c r="F39" s="1"/>
      <c r="G39" s="1"/>
      <c r="H39" s="36"/>
      <c r="I39" s="36"/>
    </row>
    <row r="40" spans="1:9" ht="13.5">
      <c r="A40" s="39" t="s">
        <v>96</v>
      </c>
      <c r="B40" s="7" t="s">
        <v>104</v>
      </c>
      <c r="C40" s="8"/>
      <c r="D40" s="46"/>
      <c r="E40" s="12"/>
      <c r="F40" s="1"/>
      <c r="G40" s="1"/>
      <c r="H40" s="36"/>
      <c r="I40" s="36"/>
    </row>
    <row r="41" spans="1:9" ht="13.5">
      <c r="A41" s="39" t="s">
        <v>102</v>
      </c>
      <c r="B41" s="7" t="s">
        <v>107</v>
      </c>
      <c r="C41" s="8"/>
      <c r="D41" s="46"/>
      <c r="E41" s="12"/>
      <c r="F41" s="1"/>
      <c r="G41" s="1"/>
      <c r="H41" s="36"/>
      <c r="I41" s="36"/>
    </row>
    <row r="42" spans="1:9" ht="13.5">
      <c r="A42" s="77" t="s">
        <v>105</v>
      </c>
      <c r="B42" s="75" t="s">
        <v>108</v>
      </c>
      <c r="C42" s="8"/>
      <c r="D42" s="46"/>
      <c r="E42" s="12"/>
      <c r="F42" s="1"/>
      <c r="G42" s="1"/>
      <c r="H42" s="36"/>
      <c r="I42" s="36"/>
    </row>
    <row r="43" spans="1:9" ht="15.75" thickBot="1">
      <c r="A43" s="77" t="s">
        <v>109</v>
      </c>
      <c r="B43" s="104" t="s">
        <v>127</v>
      </c>
      <c r="C43" s="74"/>
      <c r="D43" s="46"/>
      <c r="E43" s="12"/>
      <c r="F43" s="1"/>
      <c r="G43" s="1"/>
      <c r="H43" s="36"/>
      <c r="I43" s="36"/>
    </row>
    <row r="44" spans="1:9" ht="14.25" thickBot="1">
      <c r="A44" s="64"/>
      <c r="B44" s="65" t="s">
        <v>45</v>
      </c>
      <c r="C44" s="66">
        <f>SUM(C6:C43)</f>
        <v>56419.71</v>
      </c>
      <c r="D44" s="12"/>
      <c r="E44" s="12"/>
      <c r="F44" s="1"/>
      <c r="G44" s="1"/>
      <c r="H44" s="36"/>
      <c r="I44" s="36"/>
    </row>
    <row r="45" spans="1:9" ht="13.5">
      <c r="A45" s="36"/>
      <c r="B45" s="36"/>
      <c r="C45" s="38"/>
      <c r="D45" s="1"/>
      <c r="E45" s="1"/>
      <c r="F45" s="1"/>
      <c r="G45" s="1"/>
      <c r="H45" s="36"/>
      <c r="I45" s="36"/>
    </row>
    <row r="46" spans="1:9" ht="13.5">
      <c r="A46" s="36"/>
      <c r="B46" s="36"/>
      <c r="C46" s="38"/>
      <c r="D46" s="1"/>
      <c r="E46" s="1"/>
      <c r="F46" s="1"/>
      <c r="G46" s="1"/>
      <c r="H46" s="36"/>
      <c r="I46" s="36"/>
    </row>
    <row r="47" spans="1:9" ht="13.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3.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3.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20">
      <selection activeCell="D31" sqref="D31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3.5">
      <c r="A3" s="115" t="s">
        <v>121</v>
      </c>
      <c r="B3" s="115"/>
      <c r="C3" s="115"/>
      <c r="D3" s="115"/>
      <c r="E3" s="115"/>
      <c r="F3" s="115"/>
      <c r="G3" s="115"/>
      <c r="H3" s="115"/>
      <c r="I3" s="115"/>
    </row>
    <row r="4" spans="1:9" ht="13.5">
      <c r="A4" s="36"/>
      <c r="B4" s="36"/>
      <c r="C4" s="38"/>
      <c r="D4" s="1"/>
      <c r="E4" s="1"/>
      <c r="F4" s="1"/>
      <c r="G4" s="1"/>
      <c r="H4" s="36"/>
      <c r="I4" s="36"/>
    </row>
    <row r="5" spans="1:9" ht="27">
      <c r="A5" s="49" t="s">
        <v>0</v>
      </c>
      <c r="B5" s="49" t="s">
        <v>1</v>
      </c>
      <c r="C5" s="51" t="s">
        <v>59</v>
      </c>
      <c r="D5" s="45"/>
      <c r="E5" s="12"/>
      <c r="F5" s="1"/>
      <c r="G5" s="1"/>
      <c r="H5" s="36"/>
      <c r="I5" s="36"/>
    </row>
    <row r="6" spans="1:9" ht="13.5">
      <c r="A6" s="39" t="s">
        <v>89</v>
      </c>
      <c r="B6" s="7" t="s">
        <v>14</v>
      </c>
      <c r="C6" s="8">
        <v>23296.59</v>
      </c>
      <c r="D6" s="46"/>
      <c r="E6" s="12"/>
      <c r="F6" s="1"/>
      <c r="G6" s="1"/>
      <c r="H6" s="36"/>
      <c r="I6" s="36"/>
    </row>
    <row r="7" spans="1:9" ht="13.5">
      <c r="A7" s="39" t="s">
        <v>62</v>
      </c>
      <c r="B7" s="7" t="s">
        <v>49</v>
      </c>
      <c r="C7" s="8"/>
      <c r="D7" s="46"/>
      <c r="E7" s="12"/>
      <c r="F7" s="1"/>
      <c r="G7" s="1"/>
      <c r="H7" s="36"/>
      <c r="I7" s="36"/>
    </row>
    <row r="8" spans="1:9" ht="13.5">
      <c r="A8" s="39" t="s">
        <v>63</v>
      </c>
      <c r="B8" s="7" t="s">
        <v>16</v>
      </c>
      <c r="C8" s="8">
        <v>219.39</v>
      </c>
      <c r="D8" s="46"/>
      <c r="E8" s="12"/>
      <c r="F8" s="1"/>
      <c r="G8" s="1"/>
      <c r="H8" s="36"/>
      <c r="I8" s="36"/>
    </row>
    <row r="9" spans="1:9" ht="13.5">
      <c r="A9" s="39" t="s">
        <v>64</v>
      </c>
      <c r="B9" s="7" t="s">
        <v>17</v>
      </c>
      <c r="C9" s="8"/>
      <c r="D9" s="46"/>
      <c r="E9" s="12"/>
      <c r="F9" s="1"/>
      <c r="G9" s="1"/>
      <c r="H9" s="36"/>
      <c r="I9" s="36"/>
    </row>
    <row r="10" spans="1:9" ht="13.5">
      <c r="A10" s="39" t="s">
        <v>65</v>
      </c>
      <c r="B10" s="7" t="s">
        <v>18</v>
      </c>
      <c r="C10" s="8">
        <v>27.59</v>
      </c>
      <c r="D10" s="46"/>
      <c r="E10" s="12"/>
      <c r="F10" s="1"/>
      <c r="G10" s="1"/>
      <c r="H10" s="36"/>
      <c r="I10" s="36"/>
    </row>
    <row r="11" spans="1:9" ht="13.5">
      <c r="A11" s="39" t="s">
        <v>66</v>
      </c>
      <c r="B11" s="7" t="s">
        <v>19</v>
      </c>
      <c r="C11" s="8"/>
      <c r="D11" s="46"/>
      <c r="E11" s="12"/>
      <c r="F11" s="1"/>
      <c r="G11" s="1"/>
      <c r="H11" s="36"/>
      <c r="I11" s="36"/>
    </row>
    <row r="12" spans="1:9" ht="13.5">
      <c r="A12" s="39" t="s">
        <v>67</v>
      </c>
      <c r="B12" s="7" t="s">
        <v>20</v>
      </c>
      <c r="C12" s="8">
        <v>6882.39</v>
      </c>
      <c r="D12" s="46"/>
      <c r="E12" s="12"/>
      <c r="F12" s="1"/>
      <c r="G12" s="1"/>
      <c r="H12" s="36"/>
      <c r="I12" s="36"/>
    </row>
    <row r="13" spans="1:9" ht="13.5">
      <c r="A13" s="39" t="s">
        <v>68</v>
      </c>
      <c r="B13" s="7" t="s">
        <v>21</v>
      </c>
      <c r="C13" s="8">
        <v>154.91</v>
      </c>
      <c r="D13" s="46"/>
      <c r="E13" s="12"/>
      <c r="F13" s="1"/>
      <c r="G13" s="1"/>
      <c r="H13" s="36"/>
      <c r="I13" s="36"/>
    </row>
    <row r="14" spans="1:9" ht="13.5">
      <c r="A14" s="39" t="s">
        <v>69</v>
      </c>
      <c r="B14" s="7" t="s">
        <v>22</v>
      </c>
      <c r="C14" s="8">
        <f>2383.35+2946.75+942.27+816.62</f>
        <v>7088.990000000001</v>
      </c>
      <c r="D14" s="46"/>
      <c r="E14" s="12"/>
      <c r="F14" s="1"/>
      <c r="G14" s="1"/>
      <c r="H14" s="36"/>
      <c r="I14" s="36"/>
    </row>
    <row r="15" spans="1:9" ht="13.5">
      <c r="A15" s="39" t="s">
        <v>70</v>
      </c>
      <c r="B15" s="7" t="s">
        <v>23</v>
      </c>
      <c r="C15" s="8">
        <v>56469.55</v>
      </c>
      <c r="D15" s="46"/>
      <c r="E15" s="12"/>
      <c r="F15" s="1"/>
      <c r="G15" s="1"/>
      <c r="H15" s="36"/>
      <c r="I15" s="36"/>
    </row>
    <row r="16" spans="1:9" ht="13.5">
      <c r="A16" s="39" t="s">
        <v>71</v>
      </c>
      <c r="B16" s="7" t="s">
        <v>24</v>
      </c>
      <c r="C16" s="8">
        <f>3066.35</f>
        <v>3066.35</v>
      </c>
      <c r="D16" s="46"/>
      <c r="E16" s="12"/>
      <c r="F16" s="1"/>
      <c r="G16" s="1"/>
      <c r="H16" s="36"/>
      <c r="I16" s="36"/>
    </row>
    <row r="17" spans="1:9" ht="13.5">
      <c r="A17" s="39" t="s">
        <v>72</v>
      </c>
      <c r="B17" s="7" t="s">
        <v>50</v>
      </c>
      <c r="C17" s="8"/>
      <c r="D17" s="46"/>
      <c r="E17" s="12"/>
      <c r="F17" s="1"/>
      <c r="G17" s="1"/>
      <c r="H17" s="36"/>
      <c r="I17" s="36"/>
    </row>
    <row r="18" spans="1:9" ht="13.5">
      <c r="A18" s="39" t="s">
        <v>73</v>
      </c>
      <c r="B18" s="7" t="s">
        <v>26</v>
      </c>
      <c r="C18" s="8">
        <v>7077.88</v>
      </c>
      <c r="D18" s="46"/>
      <c r="E18" s="12"/>
      <c r="F18" s="1"/>
      <c r="G18" s="1"/>
      <c r="H18" s="36"/>
      <c r="I18" s="36"/>
    </row>
    <row r="19" spans="1:9" ht="13.5">
      <c r="A19" s="39" t="s">
        <v>74</v>
      </c>
      <c r="B19" s="7" t="s">
        <v>27</v>
      </c>
      <c r="C19" s="8"/>
      <c r="D19" s="46"/>
      <c r="E19" s="12"/>
      <c r="F19" s="1"/>
      <c r="G19" s="1"/>
      <c r="H19" s="36"/>
      <c r="I19" s="36"/>
    </row>
    <row r="20" spans="1:9" ht="13.5">
      <c r="A20" s="39" t="s">
        <v>75</v>
      </c>
      <c r="B20" s="7" t="s">
        <v>28</v>
      </c>
      <c r="C20" s="8"/>
      <c r="D20" s="46"/>
      <c r="E20" s="12"/>
      <c r="F20" s="1"/>
      <c r="G20" s="1"/>
      <c r="H20" s="36"/>
      <c r="I20" s="36"/>
    </row>
    <row r="21" spans="1:9" ht="13.5">
      <c r="A21" s="39" t="s">
        <v>76</v>
      </c>
      <c r="B21" s="7" t="s">
        <v>29</v>
      </c>
      <c r="C21" s="8"/>
      <c r="D21" s="46"/>
      <c r="E21" s="12"/>
      <c r="F21" s="1"/>
      <c r="G21" s="1"/>
      <c r="H21" s="36"/>
      <c r="I21" s="36"/>
    </row>
    <row r="22" spans="1:9" ht="13.5">
      <c r="A22" s="39" t="s">
        <v>77</v>
      </c>
      <c r="B22" s="7" t="s">
        <v>30</v>
      </c>
      <c r="C22" s="8"/>
      <c r="D22" s="46"/>
      <c r="E22" s="12"/>
      <c r="F22" s="1"/>
      <c r="G22" s="1"/>
      <c r="H22" s="36"/>
      <c r="I22" s="36"/>
    </row>
    <row r="23" spans="1:9" ht="13.5">
      <c r="A23" s="39" t="s">
        <v>78</v>
      </c>
      <c r="B23" s="7" t="s">
        <v>31</v>
      </c>
      <c r="C23" s="8"/>
      <c r="D23" s="46"/>
      <c r="E23" s="12"/>
      <c r="F23" s="1"/>
      <c r="G23" s="1"/>
      <c r="H23" s="36"/>
      <c r="I23" s="36"/>
    </row>
    <row r="24" spans="1:9" ht="13.5">
      <c r="A24" s="39" t="s">
        <v>79</v>
      </c>
      <c r="B24" s="7" t="s">
        <v>32</v>
      </c>
      <c r="C24" s="8"/>
      <c r="D24" s="46"/>
      <c r="E24" s="12"/>
      <c r="F24" s="1"/>
      <c r="G24" s="1"/>
      <c r="H24" s="36"/>
      <c r="I24" s="36"/>
    </row>
    <row r="25" spans="1:9" ht="13.5">
      <c r="A25" s="39" t="s">
        <v>80</v>
      </c>
      <c r="B25" s="7" t="s">
        <v>33</v>
      </c>
      <c r="C25" s="8"/>
      <c r="D25" s="46"/>
      <c r="E25" s="12"/>
      <c r="F25" s="1"/>
      <c r="G25" s="1"/>
      <c r="H25" s="36"/>
      <c r="I25" s="36"/>
    </row>
    <row r="26" spans="1:9" ht="13.5">
      <c r="A26" s="39" t="s">
        <v>81</v>
      </c>
      <c r="B26" s="7" t="s">
        <v>34</v>
      </c>
      <c r="C26" s="8"/>
      <c r="D26" s="46"/>
      <c r="E26" s="12"/>
      <c r="F26" s="1"/>
      <c r="G26" s="1"/>
      <c r="H26" s="36"/>
      <c r="I26" s="36"/>
    </row>
    <row r="27" spans="1:9" ht="13.5">
      <c r="A27" s="39" t="s">
        <v>82</v>
      </c>
      <c r="B27" s="7" t="s">
        <v>35</v>
      </c>
      <c r="C27" s="8"/>
      <c r="D27" s="46"/>
      <c r="E27" s="12"/>
      <c r="F27" s="1"/>
      <c r="G27" s="1"/>
      <c r="H27" s="36"/>
      <c r="I27" s="36"/>
    </row>
    <row r="28" spans="1:9" ht="13.5">
      <c r="A28" s="39" t="s">
        <v>83</v>
      </c>
      <c r="B28" s="7" t="s">
        <v>36</v>
      </c>
      <c r="C28" s="8"/>
      <c r="D28" s="46"/>
      <c r="E28" s="12"/>
      <c r="F28" s="1"/>
      <c r="G28" s="1"/>
      <c r="H28" s="36"/>
      <c r="I28" s="36"/>
    </row>
    <row r="29" spans="1:9" ht="13.5">
      <c r="A29" s="39" t="s">
        <v>84</v>
      </c>
      <c r="B29" s="7" t="s">
        <v>37</v>
      </c>
      <c r="C29" s="8">
        <f>33554.22+808.2</f>
        <v>34362.42</v>
      </c>
      <c r="D29" s="46"/>
      <c r="E29" s="12"/>
      <c r="F29" s="1"/>
      <c r="G29" s="1"/>
      <c r="H29" s="36"/>
      <c r="I29" s="36"/>
    </row>
    <row r="30" spans="1:10" ht="13.5">
      <c r="A30" s="39" t="s">
        <v>85</v>
      </c>
      <c r="B30" s="7" t="s">
        <v>38</v>
      </c>
      <c r="C30" s="8"/>
      <c r="D30" s="46"/>
      <c r="E30" s="12"/>
      <c r="F30" s="1"/>
      <c r="G30" s="1"/>
      <c r="H30" s="36"/>
      <c r="I30" s="36"/>
      <c r="J30" t="s">
        <v>99</v>
      </c>
    </row>
    <row r="31" spans="1:9" ht="13.5">
      <c r="A31" s="39" t="s">
        <v>86</v>
      </c>
      <c r="B31" s="7" t="s">
        <v>39</v>
      </c>
      <c r="C31" s="8">
        <v>864.16</v>
      </c>
      <c r="D31" s="46"/>
      <c r="E31" s="12"/>
      <c r="F31" s="1"/>
      <c r="G31" s="1"/>
      <c r="H31" s="36"/>
      <c r="I31" s="36"/>
    </row>
    <row r="32" spans="1:9" ht="13.5">
      <c r="A32" s="39" t="s">
        <v>87</v>
      </c>
      <c r="B32" s="7" t="s">
        <v>40</v>
      </c>
      <c r="C32" s="8"/>
      <c r="D32" s="46"/>
      <c r="E32" s="12"/>
      <c r="F32" s="1"/>
      <c r="G32" s="1"/>
      <c r="H32" s="36"/>
      <c r="I32" s="36"/>
    </row>
    <row r="33" spans="1:9" ht="13.5">
      <c r="A33" s="39" t="s">
        <v>88</v>
      </c>
      <c r="B33" s="7" t="s">
        <v>41</v>
      </c>
      <c r="C33" s="8"/>
      <c r="D33" s="46"/>
      <c r="E33" s="12"/>
      <c r="F33" s="1"/>
      <c r="G33" s="1"/>
      <c r="H33" s="36"/>
      <c r="I33" s="36"/>
    </row>
    <row r="34" spans="1:9" ht="13.5">
      <c r="A34" s="39" t="s">
        <v>90</v>
      </c>
      <c r="B34" s="7" t="s">
        <v>42</v>
      </c>
      <c r="C34" s="8"/>
      <c r="D34" s="46"/>
      <c r="E34" s="12"/>
      <c r="F34" s="1"/>
      <c r="G34" s="1"/>
      <c r="H34" s="36"/>
      <c r="I34" s="36"/>
    </row>
    <row r="35" spans="1:9" ht="13.5">
      <c r="A35" s="39" t="s">
        <v>91</v>
      </c>
      <c r="B35" s="7" t="s">
        <v>43</v>
      </c>
      <c r="C35" s="8"/>
      <c r="D35" s="46"/>
      <c r="E35" s="12"/>
      <c r="F35" s="1"/>
      <c r="G35" s="1"/>
      <c r="H35" s="36"/>
      <c r="I35" s="36"/>
    </row>
    <row r="36" spans="1:9" ht="13.5">
      <c r="A36" s="39" t="s">
        <v>92</v>
      </c>
      <c r="B36" s="7" t="s">
        <v>44</v>
      </c>
      <c r="C36" s="8">
        <f>154.91</f>
        <v>154.91</v>
      </c>
      <c r="D36" s="46"/>
      <c r="E36" s="12"/>
      <c r="F36" s="1"/>
      <c r="G36" s="1"/>
      <c r="H36" s="36"/>
      <c r="I36" s="36"/>
    </row>
    <row r="37" spans="1:9" ht="13.5">
      <c r="A37" s="39" t="s">
        <v>93</v>
      </c>
      <c r="B37" s="7" t="s">
        <v>97</v>
      </c>
      <c r="C37" s="8"/>
      <c r="D37" s="46"/>
      <c r="E37" s="12"/>
      <c r="F37" s="1"/>
      <c r="G37" s="1"/>
      <c r="H37" s="36"/>
      <c r="I37" s="36"/>
    </row>
    <row r="38" spans="1:9" ht="13.5">
      <c r="A38" s="39" t="s">
        <v>94</v>
      </c>
      <c r="B38" s="7" t="s">
        <v>100</v>
      </c>
      <c r="C38" s="8">
        <v>2084.21</v>
      </c>
      <c r="D38" s="46"/>
      <c r="E38" s="12"/>
      <c r="F38" s="1"/>
      <c r="G38" s="1"/>
      <c r="H38" s="36"/>
      <c r="I38" s="36"/>
    </row>
    <row r="39" spans="1:9" ht="13.5">
      <c r="A39" s="39" t="s">
        <v>95</v>
      </c>
      <c r="B39" s="7" t="s">
        <v>101</v>
      </c>
      <c r="C39" s="8">
        <v>942.27</v>
      </c>
      <c r="D39" s="46"/>
      <c r="E39" s="12"/>
      <c r="F39" s="1"/>
      <c r="G39" s="1"/>
      <c r="H39" s="36"/>
      <c r="I39" s="36"/>
    </row>
    <row r="40" spans="1:9" ht="13.5">
      <c r="A40" s="39" t="s">
        <v>96</v>
      </c>
      <c r="B40" s="7" t="s">
        <v>104</v>
      </c>
      <c r="C40" s="8"/>
      <c r="D40" s="46"/>
      <c r="E40" s="12"/>
      <c r="F40" s="1"/>
      <c r="G40" s="1"/>
      <c r="H40" s="36"/>
      <c r="I40" s="36"/>
    </row>
    <row r="41" spans="1:9" ht="13.5">
      <c r="A41" s="39" t="s">
        <v>102</v>
      </c>
      <c r="B41" s="7" t="s">
        <v>107</v>
      </c>
      <c r="C41" s="8"/>
      <c r="D41" s="46"/>
      <c r="E41" s="12"/>
      <c r="F41" s="1"/>
      <c r="G41" s="1"/>
      <c r="H41" s="36"/>
      <c r="I41" s="36"/>
    </row>
    <row r="42" spans="1:9" ht="13.5">
      <c r="A42" s="39" t="s">
        <v>105</v>
      </c>
      <c r="B42" s="7" t="s">
        <v>108</v>
      </c>
      <c r="C42" s="8"/>
      <c r="D42" s="46"/>
      <c r="E42" s="12"/>
      <c r="F42" s="1"/>
      <c r="G42" s="1"/>
      <c r="H42" s="36"/>
      <c r="I42" s="36"/>
    </row>
    <row r="43" spans="1:9" ht="15.75" thickBot="1">
      <c r="A43" s="77" t="s">
        <v>109</v>
      </c>
      <c r="B43" s="104" t="s">
        <v>127</v>
      </c>
      <c r="C43" s="74"/>
      <c r="D43" s="46"/>
      <c r="E43" s="12"/>
      <c r="F43" s="1"/>
      <c r="G43" s="1"/>
      <c r="H43" s="36"/>
      <c r="I43" s="36"/>
    </row>
    <row r="44" spans="1:9" ht="14.25" thickBot="1">
      <c r="A44" s="64"/>
      <c r="B44" s="65" t="s">
        <v>45</v>
      </c>
      <c r="C44" s="66">
        <f>SUM(C6:C43)</f>
        <v>142691.61</v>
      </c>
      <c r="D44" s="12"/>
      <c r="E44" s="12"/>
      <c r="F44" s="1"/>
      <c r="G44" s="1"/>
      <c r="H44" s="36"/>
      <c r="I44" s="36"/>
    </row>
    <row r="45" spans="1:9" ht="13.5">
      <c r="A45" s="36"/>
      <c r="B45" s="36"/>
      <c r="C45" s="38"/>
      <c r="D45" s="1"/>
      <c r="E45" s="1"/>
      <c r="F45" s="1"/>
      <c r="G45" s="1"/>
      <c r="H45" s="36"/>
      <c r="I45" s="36"/>
    </row>
    <row r="46" spans="1:9" ht="13.5">
      <c r="A46" s="36"/>
      <c r="B46" s="36"/>
      <c r="C46" s="38"/>
      <c r="D46" s="1"/>
      <c r="E46" s="1"/>
      <c r="F46" s="1"/>
      <c r="G46" s="1"/>
      <c r="H46" s="36"/>
      <c r="I46" s="36"/>
    </row>
    <row r="47" spans="1:9" ht="13.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3.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3.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24">
      <selection activeCell="D15" sqref="D15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3.5">
      <c r="A3" s="115" t="s">
        <v>122</v>
      </c>
      <c r="B3" s="115"/>
      <c r="C3" s="115"/>
      <c r="D3" s="115"/>
      <c r="E3" s="115"/>
      <c r="F3" s="115"/>
      <c r="G3" s="115"/>
      <c r="H3" s="115"/>
      <c r="I3" s="115"/>
    </row>
    <row r="4" spans="1:9" ht="13.5">
      <c r="A4" s="117"/>
      <c r="B4" s="117"/>
      <c r="C4" s="117"/>
      <c r="D4" s="42"/>
      <c r="E4" s="36"/>
      <c r="F4" s="36"/>
      <c r="G4" s="36"/>
      <c r="H4" s="36"/>
      <c r="I4" s="36"/>
    </row>
    <row r="5" spans="1:9" ht="27">
      <c r="A5" s="49" t="s">
        <v>0</v>
      </c>
      <c r="B5" s="49" t="s">
        <v>1</v>
      </c>
      <c r="C5" s="51" t="s">
        <v>60</v>
      </c>
      <c r="D5" s="36"/>
      <c r="E5" s="36"/>
      <c r="F5" s="36"/>
      <c r="G5" s="36"/>
      <c r="H5" s="36"/>
      <c r="I5" s="36"/>
    </row>
    <row r="6" spans="1:9" ht="13.5">
      <c r="A6" s="39" t="s">
        <v>89</v>
      </c>
      <c r="B6" s="7" t="s">
        <v>14</v>
      </c>
      <c r="C6" s="47"/>
      <c r="D6" s="36"/>
      <c r="E6" s="36"/>
      <c r="F6" s="36"/>
      <c r="G6" s="36"/>
      <c r="H6" s="36"/>
      <c r="I6" s="36"/>
    </row>
    <row r="7" spans="1:9" ht="13.5">
      <c r="A7" s="39" t="s">
        <v>62</v>
      </c>
      <c r="B7" s="7" t="s">
        <v>49</v>
      </c>
      <c r="C7" s="47"/>
      <c r="D7" s="36"/>
      <c r="E7" s="36"/>
      <c r="F7" s="36"/>
      <c r="G7" s="36"/>
      <c r="H7" s="36"/>
      <c r="I7" s="36"/>
    </row>
    <row r="8" spans="1:9" ht="13.5">
      <c r="A8" s="39" t="s">
        <v>63</v>
      </c>
      <c r="B8" s="7" t="s">
        <v>16</v>
      </c>
      <c r="C8" s="47"/>
      <c r="D8" s="36"/>
      <c r="E8" s="36"/>
      <c r="F8" s="36"/>
      <c r="G8" s="36"/>
      <c r="H8" s="36"/>
      <c r="I8" s="36"/>
    </row>
    <row r="9" spans="1:9" ht="13.5">
      <c r="A9" s="39" t="s">
        <v>64</v>
      </c>
      <c r="B9" s="7" t="s">
        <v>17</v>
      </c>
      <c r="C9" s="47"/>
      <c r="D9" s="36"/>
      <c r="E9" s="36"/>
      <c r="F9" s="36"/>
      <c r="G9" s="36"/>
      <c r="H9" s="36"/>
      <c r="I9" s="36"/>
    </row>
    <row r="10" spans="1:9" ht="13.5">
      <c r="A10" s="39" t="s">
        <v>65</v>
      </c>
      <c r="B10" s="7" t="s">
        <v>18</v>
      </c>
      <c r="C10" s="47"/>
      <c r="D10" s="36"/>
      <c r="E10" s="36"/>
      <c r="F10" s="36"/>
      <c r="G10" s="36"/>
      <c r="H10" s="36"/>
      <c r="I10" s="36"/>
    </row>
    <row r="11" spans="1:9" ht="13.5">
      <c r="A11" s="39" t="s">
        <v>66</v>
      </c>
      <c r="B11" s="7" t="s">
        <v>19</v>
      </c>
      <c r="C11" s="47"/>
      <c r="D11" s="36"/>
      <c r="E11" s="36"/>
      <c r="F11" s="36"/>
      <c r="G11" s="36"/>
      <c r="H11" s="36"/>
      <c r="I11" s="36"/>
    </row>
    <row r="12" spans="1:9" ht="13.5">
      <c r="A12" s="39" t="s">
        <v>67</v>
      </c>
      <c r="B12" s="7" t="s">
        <v>20</v>
      </c>
      <c r="C12" s="47"/>
      <c r="D12" s="36"/>
      <c r="E12" s="36"/>
      <c r="F12" s="36"/>
      <c r="G12" s="36"/>
      <c r="H12" s="36"/>
      <c r="I12" s="36"/>
    </row>
    <row r="13" spans="1:9" ht="13.5">
      <c r="A13" s="39" t="s">
        <v>68</v>
      </c>
      <c r="B13" s="7" t="s">
        <v>21</v>
      </c>
      <c r="C13" s="47"/>
      <c r="D13" s="36"/>
      <c r="E13" s="36"/>
      <c r="F13" s="36"/>
      <c r="G13" s="36"/>
      <c r="H13" s="36"/>
      <c r="I13" s="36"/>
    </row>
    <row r="14" spans="1:9" ht="13.5">
      <c r="A14" s="39" t="s">
        <v>69</v>
      </c>
      <c r="B14" s="7" t="s">
        <v>22</v>
      </c>
      <c r="C14" s="47"/>
      <c r="D14" s="36"/>
      <c r="E14" s="36"/>
      <c r="F14" s="36"/>
      <c r="G14" s="36"/>
      <c r="H14" s="36"/>
      <c r="I14" s="36"/>
    </row>
    <row r="15" spans="1:9" ht="13.5">
      <c r="A15" s="39" t="s">
        <v>70</v>
      </c>
      <c r="B15" s="7" t="s">
        <v>23</v>
      </c>
      <c r="C15" s="8">
        <v>34352.24</v>
      </c>
      <c r="D15" s="36"/>
      <c r="E15" s="36"/>
      <c r="F15" s="36"/>
      <c r="G15" s="36"/>
      <c r="H15" s="36"/>
      <c r="I15" s="36"/>
    </row>
    <row r="16" spans="1:9" ht="13.5">
      <c r="A16" s="39" t="s">
        <v>71</v>
      </c>
      <c r="B16" s="7" t="s">
        <v>24</v>
      </c>
      <c r="C16" s="47"/>
      <c r="D16" s="36"/>
      <c r="E16" s="36"/>
      <c r="F16" s="36"/>
      <c r="G16" s="36"/>
      <c r="H16" s="36"/>
      <c r="I16" s="36"/>
    </row>
    <row r="17" spans="1:9" ht="13.5">
      <c r="A17" s="39" t="s">
        <v>72</v>
      </c>
      <c r="B17" s="7" t="s">
        <v>50</v>
      </c>
      <c r="C17" s="8"/>
      <c r="D17" s="36"/>
      <c r="E17" s="36"/>
      <c r="F17" s="36"/>
      <c r="G17" s="36"/>
      <c r="H17" s="36"/>
      <c r="I17" s="36"/>
    </row>
    <row r="18" spans="1:9" ht="13.5">
      <c r="A18" s="39" t="s">
        <v>73</v>
      </c>
      <c r="B18" s="7" t="s">
        <v>26</v>
      </c>
      <c r="C18" s="47"/>
      <c r="D18" s="36"/>
      <c r="E18" s="36"/>
      <c r="F18" s="36"/>
      <c r="G18" s="36"/>
      <c r="H18" s="36"/>
      <c r="I18" s="36"/>
    </row>
    <row r="19" spans="1:9" ht="13.5">
      <c r="A19" s="39" t="s">
        <v>74</v>
      </c>
      <c r="B19" s="7" t="s">
        <v>27</v>
      </c>
      <c r="C19" s="47"/>
      <c r="D19" s="36"/>
      <c r="E19" s="36"/>
      <c r="F19" s="36"/>
      <c r="G19" s="36"/>
      <c r="H19" s="36"/>
      <c r="I19" s="36"/>
    </row>
    <row r="20" spans="1:9" ht="13.5">
      <c r="A20" s="39" t="s">
        <v>75</v>
      </c>
      <c r="B20" s="7" t="s">
        <v>28</v>
      </c>
      <c r="C20" s="47"/>
      <c r="D20" s="36"/>
      <c r="E20" s="36"/>
      <c r="F20" s="36"/>
      <c r="G20" s="36"/>
      <c r="H20" s="36"/>
      <c r="I20" s="36"/>
    </row>
    <row r="21" spans="1:9" ht="13.5">
      <c r="A21" s="39" t="s">
        <v>76</v>
      </c>
      <c r="B21" s="7" t="s">
        <v>29</v>
      </c>
      <c r="C21" s="47"/>
      <c r="D21" s="36"/>
      <c r="E21" s="36"/>
      <c r="F21" s="36"/>
      <c r="G21" s="36"/>
      <c r="H21" s="36"/>
      <c r="I21" s="36"/>
    </row>
    <row r="22" spans="1:9" ht="13.5">
      <c r="A22" s="39" t="s">
        <v>77</v>
      </c>
      <c r="B22" s="7" t="s">
        <v>30</v>
      </c>
      <c r="C22" s="47"/>
      <c r="D22" s="36"/>
      <c r="E22" s="36"/>
      <c r="F22" s="36"/>
      <c r="G22" s="36"/>
      <c r="H22" s="36"/>
      <c r="I22" s="36"/>
    </row>
    <row r="23" spans="1:9" ht="13.5">
      <c r="A23" s="39" t="s">
        <v>78</v>
      </c>
      <c r="B23" s="7" t="s">
        <v>31</v>
      </c>
      <c r="C23" s="47"/>
      <c r="D23" s="36"/>
      <c r="E23" s="36"/>
      <c r="F23" s="36"/>
      <c r="G23" s="36"/>
      <c r="H23" s="36"/>
      <c r="I23" s="36"/>
    </row>
    <row r="24" spans="1:9" ht="13.5">
      <c r="A24" s="39" t="s">
        <v>79</v>
      </c>
      <c r="B24" s="7" t="s">
        <v>32</v>
      </c>
      <c r="C24" s="47"/>
      <c r="D24" s="36"/>
      <c r="E24" s="36"/>
      <c r="F24" s="36"/>
      <c r="G24" s="36"/>
      <c r="H24" s="36"/>
      <c r="I24" s="36"/>
    </row>
    <row r="25" spans="1:9" ht="13.5">
      <c r="A25" s="39" t="s">
        <v>80</v>
      </c>
      <c r="B25" s="7" t="s">
        <v>33</v>
      </c>
      <c r="C25" s="47"/>
      <c r="D25" s="36"/>
      <c r="E25" s="36"/>
      <c r="F25" s="36"/>
      <c r="G25" s="36"/>
      <c r="H25" s="36"/>
      <c r="I25" s="36"/>
    </row>
    <row r="26" spans="1:9" ht="13.5">
      <c r="A26" s="39" t="s">
        <v>81</v>
      </c>
      <c r="B26" s="7" t="s">
        <v>34</v>
      </c>
      <c r="C26" s="47"/>
      <c r="D26" s="36"/>
      <c r="E26" s="36"/>
      <c r="F26" s="36"/>
      <c r="G26" s="36"/>
      <c r="H26" s="36"/>
      <c r="I26" s="36"/>
    </row>
    <row r="27" spans="1:9" ht="13.5">
      <c r="A27" s="39" t="s">
        <v>82</v>
      </c>
      <c r="B27" s="7" t="s">
        <v>35</v>
      </c>
      <c r="C27" s="47"/>
      <c r="D27" s="36"/>
      <c r="E27" s="36"/>
      <c r="F27" s="36"/>
      <c r="G27" s="36"/>
      <c r="H27" s="36"/>
      <c r="I27" s="36"/>
    </row>
    <row r="28" spans="1:9" ht="13.5">
      <c r="A28" s="39" t="s">
        <v>83</v>
      </c>
      <c r="B28" s="7" t="s">
        <v>36</v>
      </c>
      <c r="C28" s="47"/>
      <c r="D28" s="36"/>
      <c r="E28" s="36"/>
      <c r="F28" s="36"/>
      <c r="G28" s="36"/>
      <c r="H28" s="36"/>
      <c r="I28" s="36"/>
    </row>
    <row r="29" spans="1:9" ht="13.5">
      <c r="A29" s="39" t="s">
        <v>84</v>
      </c>
      <c r="B29" s="7" t="s">
        <v>37</v>
      </c>
      <c r="C29" s="47"/>
      <c r="D29" s="36"/>
      <c r="E29" s="36"/>
      <c r="F29" s="36"/>
      <c r="G29" s="36"/>
      <c r="H29" s="36"/>
      <c r="I29" s="36"/>
    </row>
    <row r="30" spans="1:9" ht="13.5">
      <c r="A30" s="39" t="s">
        <v>85</v>
      </c>
      <c r="B30" s="7" t="s">
        <v>38</v>
      </c>
      <c r="C30" s="47"/>
      <c r="D30" s="36"/>
      <c r="E30" s="36"/>
      <c r="F30" s="36"/>
      <c r="G30" s="36"/>
      <c r="H30" s="36"/>
      <c r="I30" s="36"/>
    </row>
    <row r="31" spans="1:9" ht="13.5">
      <c r="A31" s="39" t="s">
        <v>86</v>
      </c>
      <c r="B31" s="7" t="s">
        <v>39</v>
      </c>
      <c r="C31" s="47"/>
      <c r="D31" s="36"/>
      <c r="E31" s="36"/>
      <c r="F31" s="36"/>
      <c r="G31" s="36"/>
      <c r="H31" s="36"/>
      <c r="I31" s="36"/>
    </row>
    <row r="32" spans="1:9" ht="13.5">
      <c r="A32" s="39" t="s">
        <v>87</v>
      </c>
      <c r="B32" s="7" t="s">
        <v>40</v>
      </c>
      <c r="C32" s="47"/>
      <c r="D32" s="36"/>
      <c r="E32" s="36"/>
      <c r="F32" s="36"/>
      <c r="G32" s="36"/>
      <c r="H32" s="36"/>
      <c r="I32" s="36"/>
    </row>
    <row r="33" spans="1:9" ht="13.5">
      <c r="A33" s="39" t="s">
        <v>88</v>
      </c>
      <c r="B33" s="7" t="s">
        <v>41</v>
      </c>
      <c r="C33" s="47"/>
      <c r="D33" s="36"/>
      <c r="E33" s="36"/>
      <c r="F33" s="36"/>
      <c r="G33" s="36"/>
      <c r="H33" s="36"/>
      <c r="I33" s="36"/>
    </row>
    <row r="34" spans="1:9" ht="13.5">
      <c r="A34" s="39" t="s">
        <v>90</v>
      </c>
      <c r="B34" s="7" t="s">
        <v>42</v>
      </c>
      <c r="C34" s="47"/>
      <c r="D34" s="36"/>
      <c r="E34" s="36"/>
      <c r="F34" s="36"/>
      <c r="G34" s="36"/>
      <c r="H34" s="36"/>
      <c r="I34" s="36"/>
    </row>
    <row r="35" spans="1:9" ht="13.5">
      <c r="A35" s="39" t="s">
        <v>91</v>
      </c>
      <c r="B35" s="7" t="s">
        <v>43</v>
      </c>
      <c r="C35" s="47"/>
      <c r="D35" s="36"/>
      <c r="E35" s="36"/>
      <c r="F35" s="36"/>
      <c r="G35" s="36"/>
      <c r="H35" s="36"/>
      <c r="I35" s="36"/>
    </row>
    <row r="36" spans="1:9" ht="13.5">
      <c r="A36" s="39" t="s">
        <v>92</v>
      </c>
      <c r="B36" s="7" t="s">
        <v>44</v>
      </c>
      <c r="C36" s="47"/>
      <c r="D36" s="36"/>
      <c r="E36" s="36"/>
      <c r="F36" s="36"/>
      <c r="G36" s="36"/>
      <c r="H36" s="36"/>
      <c r="I36" s="36"/>
    </row>
    <row r="37" spans="1:9" ht="13.5">
      <c r="A37" s="39" t="s">
        <v>93</v>
      </c>
      <c r="B37" s="7" t="s">
        <v>97</v>
      </c>
      <c r="C37" s="47"/>
      <c r="D37" s="36"/>
      <c r="E37" s="36"/>
      <c r="F37" s="36"/>
      <c r="G37" s="36"/>
      <c r="H37" s="36"/>
      <c r="I37" s="36"/>
    </row>
    <row r="38" spans="1:9" ht="13.5">
      <c r="A38" s="39" t="s">
        <v>94</v>
      </c>
      <c r="B38" s="7" t="s">
        <v>100</v>
      </c>
      <c r="C38" s="47"/>
      <c r="D38" s="36"/>
      <c r="E38" s="36"/>
      <c r="F38" s="36"/>
      <c r="G38" s="36"/>
      <c r="H38" s="36"/>
      <c r="I38" s="36"/>
    </row>
    <row r="39" spans="1:9" ht="13.5">
      <c r="A39" s="39" t="s">
        <v>95</v>
      </c>
      <c r="B39" s="7" t="s">
        <v>101</v>
      </c>
      <c r="C39" s="47"/>
      <c r="D39" s="36"/>
      <c r="E39" s="36"/>
      <c r="F39" s="36"/>
      <c r="G39" s="36"/>
      <c r="H39" s="36"/>
      <c r="I39" s="36"/>
    </row>
    <row r="40" spans="1:9" ht="13.5">
      <c r="A40" s="39" t="s">
        <v>96</v>
      </c>
      <c r="B40" s="7" t="s">
        <v>104</v>
      </c>
      <c r="C40" s="47"/>
      <c r="D40" s="36"/>
      <c r="E40" s="36"/>
      <c r="F40" s="36"/>
      <c r="G40" s="36"/>
      <c r="H40" s="36"/>
      <c r="I40" s="36"/>
    </row>
    <row r="41" spans="1:9" ht="13.5">
      <c r="A41" s="39" t="s">
        <v>102</v>
      </c>
      <c r="B41" s="7" t="s">
        <v>107</v>
      </c>
      <c r="C41" s="47"/>
      <c r="D41" s="36"/>
      <c r="E41" s="36"/>
      <c r="F41" s="36"/>
      <c r="G41" s="36"/>
      <c r="H41" s="36"/>
      <c r="I41" s="36"/>
    </row>
    <row r="42" spans="1:9" ht="13.5">
      <c r="A42" s="39" t="s">
        <v>105</v>
      </c>
      <c r="B42" s="7" t="s">
        <v>108</v>
      </c>
      <c r="C42" s="47"/>
      <c r="D42" s="36"/>
      <c r="E42" s="36"/>
      <c r="F42" s="36"/>
      <c r="G42" s="36"/>
      <c r="H42" s="36"/>
      <c r="I42" s="36"/>
    </row>
    <row r="43" spans="1:9" ht="15.75" thickBot="1">
      <c r="A43" s="77" t="s">
        <v>109</v>
      </c>
      <c r="B43" s="104" t="s">
        <v>127</v>
      </c>
      <c r="C43" s="94"/>
      <c r="D43" s="36"/>
      <c r="E43" s="36"/>
      <c r="F43" s="36"/>
      <c r="G43" s="36"/>
      <c r="H43" s="36"/>
      <c r="I43" s="36"/>
    </row>
    <row r="44" spans="1:9" ht="14.25" thickBot="1">
      <c r="A44" s="64"/>
      <c r="B44" s="65" t="s">
        <v>45</v>
      </c>
      <c r="C44" s="66">
        <f>SUM(C6:C43)</f>
        <v>34352.24</v>
      </c>
      <c r="D44" s="36"/>
      <c r="E44" s="36"/>
      <c r="F44" s="36"/>
      <c r="G44" s="36"/>
      <c r="H44" s="36"/>
      <c r="I44" s="36"/>
    </row>
    <row r="45" spans="1:9" ht="13.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3.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3.5">
      <c r="A47" s="36"/>
      <c r="B47" s="36"/>
      <c r="C47" s="36"/>
      <c r="D47" s="36"/>
      <c r="E47" s="36"/>
      <c r="F47" s="36"/>
      <c r="G47" s="36"/>
      <c r="H47" s="36"/>
      <c r="I47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Radu POPESCU</cp:lastModifiedBy>
  <cp:lastPrinted>2017-04-04T12:27:20Z</cp:lastPrinted>
  <dcterms:created xsi:type="dcterms:W3CDTF">2011-06-30T06:54:46Z</dcterms:created>
  <dcterms:modified xsi:type="dcterms:W3CDTF">2017-04-04T12:27:25Z</dcterms:modified>
  <cp:category/>
  <cp:version/>
  <cp:contentType/>
  <cp:contentStatus/>
</cp:coreProperties>
</file>